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192.168.10.203\Owncloud\epenaq\files\EPQ 130521\Documentos\EPQ\ERU\MPPULTIMO\VIGENTES\Estrategicos\Direccion estrat\Otros\"/>
    </mc:Choice>
  </mc:AlternateContent>
  <bookViews>
    <workbookView xWindow="0" yWindow="0" windowWidth="19200" windowHeight="6930" tabRatio="882" activeTab="2"/>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final'!$A$6:$CP$154</definedName>
  </definedNames>
  <calcPr calcId="162913"/>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42" i="1" l="1"/>
  <c r="T139" i="1"/>
  <c r="K70" i="1" l="1"/>
  <c r="L70" i="1" s="1"/>
  <c r="W70" i="1"/>
  <c r="T70" i="1"/>
  <c r="N70" i="1"/>
  <c r="O70" i="1" s="1"/>
  <c r="AA70" i="1" l="1"/>
  <c r="Q70" i="1"/>
  <c r="P70" i="1"/>
  <c r="AE70" i="1" s="1"/>
  <c r="AD70" i="1" s="1"/>
  <c r="X245" i="19"/>
  <c r="X238" i="19"/>
  <c r="W238" i="19"/>
  <c r="X237" i="19"/>
  <c r="X236" i="19"/>
  <c r="X232" i="19"/>
  <c r="W232" i="19"/>
  <c r="W227" i="19"/>
  <c r="X226" i="19"/>
  <c r="X218" i="19"/>
  <c r="W218" i="19"/>
  <c r="X209" i="19"/>
  <c r="W209" i="19"/>
  <c r="X195" i="19"/>
  <c r="X188" i="19"/>
  <c r="W188" i="19"/>
  <c r="X187" i="19"/>
  <c r="X186" i="19"/>
  <c r="X182" i="19"/>
  <c r="W182" i="19"/>
  <c r="W177" i="19"/>
  <c r="X176" i="19"/>
  <c r="X168" i="19"/>
  <c r="W168" i="19"/>
  <c r="X159" i="19"/>
  <c r="W159" i="19"/>
  <c r="X145" i="19"/>
  <c r="X138" i="19"/>
  <c r="W138" i="19"/>
  <c r="X137" i="19"/>
  <c r="X136" i="19"/>
  <c r="X132" i="19"/>
  <c r="W132" i="19"/>
  <c r="W127" i="19"/>
  <c r="X126" i="19"/>
  <c r="X118" i="19"/>
  <c r="W118" i="19"/>
  <c r="X109" i="19"/>
  <c r="W109" i="19"/>
  <c r="X95" i="19"/>
  <c r="X88" i="19"/>
  <c r="W88" i="19"/>
  <c r="X87" i="19"/>
  <c r="X86" i="19"/>
  <c r="X82" i="19"/>
  <c r="W82" i="19"/>
  <c r="W77" i="19"/>
  <c r="X76" i="19"/>
  <c r="X68" i="19"/>
  <c r="W68" i="19"/>
  <c r="X59" i="19"/>
  <c r="W59" i="19"/>
  <c r="X45" i="19"/>
  <c r="X38" i="19"/>
  <c r="W38" i="19"/>
  <c r="X37" i="19"/>
  <c r="X36" i="19"/>
  <c r="X32" i="19"/>
  <c r="W32" i="19"/>
  <c r="W27" i="19"/>
  <c r="X26" i="19"/>
  <c r="X18" i="19"/>
  <c r="W18" i="19"/>
  <c r="X9" i="19"/>
  <c r="W9" i="19"/>
  <c r="U245" i="19"/>
  <c r="U238" i="19"/>
  <c r="T238" i="19"/>
  <c r="U237" i="19"/>
  <c r="U236" i="19"/>
  <c r="U232" i="19"/>
  <c r="T232" i="19"/>
  <c r="T227" i="19"/>
  <c r="U226" i="19"/>
  <c r="U218" i="19"/>
  <c r="T218" i="19"/>
  <c r="U209" i="19"/>
  <c r="T209" i="19"/>
  <c r="U195" i="19"/>
  <c r="U188" i="19"/>
  <c r="T188" i="19"/>
  <c r="U187" i="19"/>
  <c r="U186" i="19"/>
  <c r="U182" i="19"/>
  <c r="T182" i="19"/>
  <c r="T177" i="19"/>
  <c r="U176" i="19"/>
  <c r="U168" i="19"/>
  <c r="T168" i="19"/>
  <c r="U159" i="19"/>
  <c r="T159" i="19"/>
  <c r="U145" i="19"/>
  <c r="U138" i="19"/>
  <c r="T138" i="19"/>
  <c r="U137" i="19"/>
  <c r="U136" i="19"/>
  <c r="U132" i="19"/>
  <c r="T132" i="19"/>
  <c r="T127" i="19"/>
  <c r="U126" i="19"/>
  <c r="U118" i="19"/>
  <c r="T118" i="19"/>
  <c r="U109" i="19"/>
  <c r="T109" i="19"/>
  <c r="U95" i="19"/>
  <c r="U88" i="19"/>
  <c r="T88" i="19"/>
  <c r="U87" i="19"/>
  <c r="U86" i="19"/>
  <c r="U82" i="19"/>
  <c r="T82" i="19"/>
  <c r="T77" i="19"/>
  <c r="U76" i="19"/>
  <c r="U68" i="19"/>
  <c r="T68" i="19"/>
  <c r="U59" i="19"/>
  <c r="T59" i="19"/>
  <c r="U45" i="19"/>
  <c r="U38" i="19"/>
  <c r="T38" i="19"/>
  <c r="U37" i="19"/>
  <c r="U36" i="19"/>
  <c r="U32" i="19"/>
  <c r="T32" i="19"/>
  <c r="T27" i="19"/>
  <c r="U26" i="19"/>
  <c r="U18" i="19"/>
  <c r="T18" i="19"/>
  <c r="U9" i="19"/>
  <c r="T9" i="19"/>
  <c r="R245" i="19"/>
  <c r="R238" i="19"/>
  <c r="Q238" i="19"/>
  <c r="R237" i="19"/>
  <c r="R236" i="19"/>
  <c r="R232" i="19"/>
  <c r="Q232" i="19"/>
  <c r="Q227" i="19"/>
  <c r="R226" i="19"/>
  <c r="R218" i="19"/>
  <c r="Q218" i="19"/>
  <c r="R209" i="19"/>
  <c r="Q209" i="19"/>
  <c r="R195" i="19"/>
  <c r="R188" i="19"/>
  <c r="Q188" i="19"/>
  <c r="R187" i="19"/>
  <c r="R186" i="19"/>
  <c r="R182" i="19"/>
  <c r="Q182" i="19"/>
  <c r="Q177" i="19"/>
  <c r="R176" i="19"/>
  <c r="R168" i="19"/>
  <c r="Q168" i="19"/>
  <c r="R159" i="19"/>
  <c r="Q159" i="19"/>
  <c r="R145" i="19"/>
  <c r="R138" i="19"/>
  <c r="Q138" i="19"/>
  <c r="R137" i="19"/>
  <c r="R136" i="19"/>
  <c r="R132" i="19"/>
  <c r="Q132" i="19"/>
  <c r="Q127" i="19"/>
  <c r="R126" i="19"/>
  <c r="R118" i="19"/>
  <c r="Q118" i="19"/>
  <c r="R109" i="19"/>
  <c r="Q109" i="19"/>
  <c r="R95" i="19"/>
  <c r="R88" i="19"/>
  <c r="Q88" i="19"/>
  <c r="R87" i="19"/>
  <c r="R86" i="19"/>
  <c r="R82" i="19"/>
  <c r="Q82" i="19"/>
  <c r="Q77" i="19"/>
  <c r="R76" i="19"/>
  <c r="R68" i="19"/>
  <c r="Q68" i="19"/>
  <c r="R59" i="19"/>
  <c r="Q59" i="19"/>
  <c r="R45" i="19"/>
  <c r="R38" i="19"/>
  <c r="Q38" i="19"/>
  <c r="R37" i="19"/>
  <c r="R36" i="19"/>
  <c r="R32" i="19"/>
  <c r="Q32" i="19"/>
  <c r="Q27" i="19"/>
  <c r="R26" i="19"/>
  <c r="R18" i="19"/>
  <c r="Q18" i="19"/>
  <c r="R9" i="19"/>
  <c r="Q9" i="19"/>
  <c r="O245" i="19"/>
  <c r="O238" i="19"/>
  <c r="N238" i="19"/>
  <c r="O237" i="19"/>
  <c r="O236" i="19"/>
  <c r="O232" i="19"/>
  <c r="N232" i="19"/>
  <c r="N227" i="19"/>
  <c r="O226" i="19"/>
  <c r="O218" i="19"/>
  <c r="N218" i="19"/>
  <c r="O209" i="19"/>
  <c r="N209" i="19"/>
  <c r="O195" i="19"/>
  <c r="O188" i="19"/>
  <c r="N188" i="19"/>
  <c r="O187" i="19"/>
  <c r="O186" i="19"/>
  <c r="O182" i="19"/>
  <c r="N182" i="19"/>
  <c r="N177" i="19"/>
  <c r="O176" i="19"/>
  <c r="O168" i="19"/>
  <c r="N168" i="19"/>
  <c r="O159" i="19"/>
  <c r="N159" i="19"/>
  <c r="O145" i="19"/>
  <c r="O138" i="19"/>
  <c r="N138" i="19"/>
  <c r="O137" i="19"/>
  <c r="O136" i="19"/>
  <c r="O132" i="19"/>
  <c r="N132" i="19"/>
  <c r="N127" i="19"/>
  <c r="O126" i="19"/>
  <c r="O118" i="19"/>
  <c r="N118" i="19"/>
  <c r="O109" i="19"/>
  <c r="N109" i="19"/>
  <c r="O95" i="19"/>
  <c r="O88" i="19"/>
  <c r="N88" i="19"/>
  <c r="O87" i="19"/>
  <c r="O86" i="19"/>
  <c r="O82" i="19"/>
  <c r="N82" i="19"/>
  <c r="N77" i="19"/>
  <c r="O76" i="19"/>
  <c r="O68" i="19"/>
  <c r="N68" i="19"/>
  <c r="O59" i="19"/>
  <c r="N59" i="19"/>
  <c r="O45" i="19"/>
  <c r="O38" i="19"/>
  <c r="N38" i="19"/>
  <c r="O37" i="19"/>
  <c r="O36" i="19"/>
  <c r="O32" i="19"/>
  <c r="N32" i="19"/>
  <c r="N27" i="19"/>
  <c r="O26" i="19"/>
  <c r="O18" i="19"/>
  <c r="N18" i="19"/>
  <c r="O9" i="19"/>
  <c r="N9" i="19"/>
  <c r="L95" i="19"/>
  <c r="L88" i="19"/>
  <c r="K88" i="19"/>
  <c r="L87" i="19"/>
  <c r="L86" i="19"/>
  <c r="L82" i="19"/>
  <c r="K82" i="19"/>
  <c r="K77" i="19"/>
  <c r="L76" i="19"/>
  <c r="L68" i="19"/>
  <c r="K68" i="19"/>
  <c r="L59" i="19"/>
  <c r="K59" i="19"/>
  <c r="L145" i="19"/>
  <c r="L138" i="19"/>
  <c r="K138" i="19"/>
  <c r="L137" i="19"/>
  <c r="L136" i="19"/>
  <c r="L132" i="19"/>
  <c r="K132" i="19"/>
  <c r="K127" i="19"/>
  <c r="L126" i="19"/>
  <c r="L118" i="19"/>
  <c r="K118" i="19"/>
  <c r="L109" i="19"/>
  <c r="K109" i="19"/>
  <c r="L195" i="19"/>
  <c r="L188" i="19"/>
  <c r="K188" i="19"/>
  <c r="L187" i="19"/>
  <c r="L186" i="19"/>
  <c r="L182" i="19"/>
  <c r="K182" i="19"/>
  <c r="K177" i="19"/>
  <c r="L176" i="19"/>
  <c r="L168" i="19"/>
  <c r="K168" i="19"/>
  <c r="L159" i="19"/>
  <c r="K159" i="19"/>
  <c r="L245" i="19"/>
  <c r="L238" i="19"/>
  <c r="K238" i="19"/>
  <c r="L237" i="19"/>
  <c r="L236" i="19"/>
  <c r="L232" i="19"/>
  <c r="K232" i="19"/>
  <c r="K227" i="19"/>
  <c r="L226" i="19"/>
  <c r="L218" i="19"/>
  <c r="K218" i="19"/>
  <c r="L209" i="19"/>
  <c r="K209" i="19"/>
  <c r="L45" i="19"/>
  <c r="L38" i="19"/>
  <c r="K38" i="19"/>
  <c r="L37" i="19"/>
  <c r="K139" i="1"/>
  <c r="N139" i="1"/>
  <c r="O139" i="1" s="1"/>
  <c r="P139" i="1" s="1"/>
  <c r="W139" i="1"/>
  <c r="T140" i="1"/>
  <c r="AA140" i="1" s="1"/>
  <c r="W140" i="1"/>
  <c r="T141" i="1"/>
  <c r="AA141" i="1" s="1"/>
  <c r="W141" i="1"/>
  <c r="K142" i="1"/>
  <c r="N142" i="1"/>
  <c r="O142" i="1" s="1"/>
  <c r="W142" i="1"/>
  <c r="T143" i="1"/>
  <c r="AA143" i="1" s="1"/>
  <c r="W143" i="1"/>
  <c r="T144" i="1"/>
  <c r="AA144" i="1" s="1"/>
  <c r="AC144" i="1" s="1"/>
  <c r="W144" i="1"/>
  <c r="K145" i="1"/>
  <c r="N145" i="1"/>
  <c r="O145" i="1" s="1"/>
  <c r="P145" i="1" s="1"/>
  <c r="T145" i="1"/>
  <c r="AA145" i="1" s="1"/>
  <c r="W145" i="1"/>
  <c r="T146" i="1"/>
  <c r="AA146" i="1" s="1"/>
  <c r="W146" i="1"/>
  <c r="T147" i="1"/>
  <c r="AA147" i="1" s="1"/>
  <c r="W147" i="1"/>
  <c r="K148" i="1"/>
  <c r="L148" i="1" s="1"/>
  <c r="N148" i="1"/>
  <c r="O148" i="1" s="1"/>
  <c r="T148" i="1"/>
  <c r="AE148" i="1" s="1"/>
  <c r="AD148" i="1" s="1"/>
  <c r="W148" i="1"/>
  <c r="T149" i="1"/>
  <c r="AA149" i="1" s="1"/>
  <c r="W149" i="1"/>
  <c r="T150" i="1"/>
  <c r="AA150" i="1" s="1"/>
  <c r="W150" i="1"/>
  <c r="K151" i="1"/>
  <c r="N151" i="1"/>
  <c r="O151" i="1" s="1"/>
  <c r="P151" i="1" s="1"/>
  <c r="T151" i="1"/>
  <c r="AA151" i="1" s="1"/>
  <c r="W151" i="1"/>
  <c r="T152" i="1"/>
  <c r="AA152" i="1" s="1"/>
  <c r="W152" i="1"/>
  <c r="T153" i="1"/>
  <c r="AA153" i="1" s="1"/>
  <c r="W153" i="1"/>
  <c r="W100" i="1"/>
  <c r="T100" i="1"/>
  <c r="N100" i="1"/>
  <c r="O100" i="1" s="1"/>
  <c r="P100" i="1" s="1"/>
  <c r="K100" i="1"/>
  <c r="AE149" i="1" l="1"/>
  <c r="AD149" i="1" s="1"/>
  <c r="AA148" i="1"/>
  <c r="AC148" i="1" s="1"/>
  <c r="AE144" i="1"/>
  <c r="AD144" i="1" s="1"/>
  <c r="AB144" i="1"/>
  <c r="AE143" i="1"/>
  <c r="AD143" i="1" s="1"/>
  <c r="AC70" i="1"/>
  <c r="AB70" i="1"/>
  <c r="AF70" i="1" s="1"/>
  <c r="AC149" i="1"/>
  <c r="AB149" i="1"/>
  <c r="AC143" i="1"/>
  <c r="AB143" i="1"/>
  <c r="AC150" i="1"/>
  <c r="AB150" i="1"/>
  <c r="AZ84" i="18"/>
  <c r="AP104" i="18"/>
  <c r="AP24" i="18"/>
  <c r="AF44" i="18"/>
  <c r="V64" i="18"/>
  <c r="L84" i="18"/>
  <c r="AZ64" i="18"/>
  <c r="AP84" i="18"/>
  <c r="AF104" i="18"/>
  <c r="AF24" i="18"/>
  <c r="V44" i="18"/>
  <c r="L64" i="18"/>
  <c r="AZ44" i="18"/>
  <c r="AP64" i="18"/>
  <c r="AF84" i="18"/>
  <c r="V104" i="18"/>
  <c r="V24" i="18"/>
  <c r="L44" i="18"/>
  <c r="AZ104" i="18"/>
  <c r="AZ24" i="18"/>
  <c r="AP44" i="18"/>
  <c r="AF64" i="18"/>
  <c r="V84" i="18"/>
  <c r="L104" i="18"/>
  <c r="L24" i="18"/>
  <c r="BD44" i="18"/>
  <c r="AT64" i="18"/>
  <c r="AJ84" i="18"/>
  <c r="Z104" i="18"/>
  <c r="Z24" i="18"/>
  <c r="P44" i="18"/>
  <c r="BD104" i="18"/>
  <c r="BD24" i="18"/>
  <c r="AT44" i="18"/>
  <c r="AJ64" i="18"/>
  <c r="Z84" i="18"/>
  <c r="P104" i="18"/>
  <c r="P24" i="18"/>
  <c r="BD84" i="18"/>
  <c r="AT104" i="18"/>
  <c r="AT24" i="18"/>
  <c r="AJ44" i="18"/>
  <c r="Z64" i="18"/>
  <c r="P84" i="18"/>
  <c r="BD64" i="18"/>
  <c r="AT84" i="18"/>
  <c r="AJ104" i="18"/>
  <c r="AJ24" i="18"/>
  <c r="Z44" i="18"/>
  <c r="P64" i="18"/>
  <c r="L139" i="1"/>
  <c r="AA139" i="1" s="1"/>
  <c r="AX104" i="18"/>
  <c r="AX24" i="18"/>
  <c r="AN44" i="18"/>
  <c r="AD64" i="18"/>
  <c r="T84" i="18"/>
  <c r="J104" i="18"/>
  <c r="J24" i="18"/>
  <c r="AX84" i="18"/>
  <c r="AN104" i="18"/>
  <c r="AN24" i="18"/>
  <c r="AD44" i="18"/>
  <c r="T64" i="18"/>
  <c r="J84" i="18"/>
  <c r="AX64" i="18"/>
  <c r="AN84" i="18"/>
  <c r="AD104" i="18"/>
  <c r="AD24" i="18"/>
  <c r="T44" i="18"/>
  <c r="J64" i="18"/>
  <c r="AX44" i="18"/>
  <c r="AN64" i="18"/>
  <c r="AD84" i="18"/>
  <c r="T104" i="18"/>
  <c r="T24" i="18"/>
  <c r="J44" i="18"/>
  <c r="AE150" i="1"/>
  <c r="AD150" i="1" s="1"/>
  <c r="L145" i="1"/>
  <c r="BB64" i="18"/>
  <c r="AR84" i="18"/>
  <c r="AH104" i="18"/>
  <c r="AH24" i="18"/>
  <c r="X44" i="18"/>
  <c r="N64" i="18"/>
  <c r="BB44" i="18"/>
  <c r="AR64" i="18"/>
  <c r="AH84" i="18"/>
  <c r="X104" i="18"/>
  <c r="X24" i="18"/>
  <c r="N44" i="18"/>
  <c r="BB104" i="18"/>
  <c r="BB24" i="18"/>
  <c r="AR44" i="18"/>
  <c r="AH64" i="18"/>
  <c r="X84" i="18"/>
  <c r="N104" i="18"/>
  <c r="N24" i="18"/>
  <c r="BB84" i="18"/>
  <c r="AR104" i="18"/>
  <c r="AR24" i="18"/>
  <c r="AH44" i="18"/>
  <c r="X64" i="18"/>
  <c r="N84" i="18"/>
  <c r="L151" i="1"/>
  <c r="BF104" i="18"/>
  <c r="BF24" i="18"/>
  <c r="AV44" i="18"/>
  <c r="AL64" i="18"/>
  <c r="AB84" i="18"/>
  <c r="R104" i="18"/>
  <c r="R24" i="18"/>
  <c r="BF84" i="18"/>
  <c r="AV104" i="18"/>
  <c r="AV24" i="18"/>
  <c r="AL44" i="18"/>
  <c r="AB64" i="18"/>
  <c r="R84" i="18"/>
  <c r="BF64" i="18"/>
  <c r="AV84" i="18"/>
  <c r="AL104" i="18"/>
  <c r="AL24" i="18"/>
  <c r="AB44" i="18"/>
  <c r="R64" i="18"/>
  <c r="BF44" i="18"/>
  <c r="AV64" i="18"/>
  <c r="AL84" i="18"/>
  <c r="AB104" i="18"/>
  <c r="AB24" i="18"/>
  <c r="R44" i="18"/>
  <c r="L142" i="1"/>
  <c r="AA142" i="1" s="1"/>
  <c r="BB78" i="18"/>
  <c r="N38" i="18"/>
  <c r="N78" i="18"/>
  <c r="X98" i="18"/>
  <c r="AH78" i="18"/>
  <c r="X38" i="18"/>
  <c r="AH58" i="18"/>
  <c r="AH98" i="18"/>
  <c r="AR78" i="18"/>
  <c r="BB98" i="18"/>
  <c r="X18" i="18"/>
  <c r="X58" i="18"/>
  <c r="AH38" i="18"/>
  <c r="AR18" i="18"/>
  <c r="AR58" i="18"/>
  <c r="AR98" i="18"/>
  <c r="BB38" i="18"/>
  <c r="N18" i="18"/>
  <c r="N58" i="18"/>
  <c r="N98" i="18"/>
  <c r="X78" i="18"/>
  <c r="AH18" i="18"/>
  <c r="AR38" i="18"/>
  <c r="BB18" i="18"/>
  <c r="BB58" i="18"/>
  <c r="AB152" i="1"/>
  <c r="AC152" i="1"/>
  <c r="P142" i="1"/>
  <c r="AE142" i="1" s="1"/>
  <c r="AD142" i="1" s="1"/>
  <c r="Q142" i="1"/>
  <c r="AB141" i="1"/>
  <c r="AC141" i="1"/>
  <c r="Q148" i="1"/>
  <c r="P148" i="1"/>
  <c r="AB147" i="1"/>
  <c r="AC147" i="1"/>
  <c r="AB145" i="1"/>
  <c r="AC145" i="1"/>
  <c r="AB153" i="1"/>
  <c r="AC153" i="1"/>
  <c r="AB151" i="1"/>
  <c r="AC151" i="1"/>
  <c r="AB140" i="1"/>
  <c r="AC140" i="1"/>
  <c r="AB146" i="1"/>
  <c r="AC146" i="1"/>
  <c r="Q151" i="1"/>
  <c r="Q145" i="1"/>
  <c r="Q139" i="1"/>
  <c r="AE153" i="1"/>
  <c r="AD153" i="1" s="1"/>
  <c r="AE152" i="1"/>
  <c r="AD152" i="1" s="1"/>
  <c r="AE151" i="1"/>
  <c r="AD151" i="1" s="1"/>
  <c r="AE147" i="1"/>
  <c r="AD147" i="1" s="1"/>
  <c r="AE146" i="1"/>
  <c r="AD146" i="1" s="1"/>
  <c r="AE145" i="1"/>
  <c r="AD145" i="1" s="1"/>
  <c r="AE141" i="1"/>
  <c r="AD141" i="1" s="1"/>
  <c r="AE140" i="1"/>
  <c r="AD140" i="1" s="1"/>
  <c r="AE139" i="1"/>
  <c r="AD139" i="1" s="1"/>
  <c r="Q100" i="1"/>
  <c r="AE100" i="1"/>
  <c r="AD100" i="1" s="1"/>
  <c r="L100" i="1"/>
  <c r="AA100" i="1" s="1"/>
  <c r="AB142" i="1" l="1"/>
  <c r="V102" i="19" s="1"/>
  <c r="AC142" i="1"/>
  <c r="AB139" i="1"/>
  <c r="AC139" i="1"/>
  <c r="X52" i="19"/>
  <c r="R52" i="19"/>
  <c r="O52" i="19"/>
  <c r="AB148" i="1"/>
  <c r="S254" i="19" s="1"/>
  <c r="R102" i="19"/>
  <c r="U52" i="19"/>
  <c r="AF144" i="1"/>
  <c r="O152" i="19"/>
  <c r="L202" i="19"/>
  <c r="L252" i="19"/>
  <c r="L102" i="19"/>
  <c r="X102" i="19"/>
  <c r="O252" i="19"/>
  <c r="L52" i="19"/>
  <c r="L152" i="19"/>
  <c r="O102" i="19"/>
  <c r="X152" i="19"/>
  <c r="O202" i="19"/>
  <c r="R252" i="19"/>
  <c r="R152" i="19"/>
  <c r="U252" i="19"/>
  <c r="U102" i="19"/>
  <c r="X202" i="19"/>
  <c r="R202" i="19"/>
  <c r="X252" i="19"/>
  <c r="U152" i="19"/>
  <c r="U202" i="19"/>
  <c r="AF150" i="1"/>
  <c r="X254" i="19"/>
  <c r="X54" i="19"/>
  <c r="X204" i="19"/>
  <c r="U254" i="19"/>
  <c r="X154" i="19"/>
  <c r="U204" i="19"/>
  <c r="X104" i="19"/>
  <c r="U154" i="19"/>
  <c r="U104" i="19"/>
  <c r="R154" i="19"/>
  <c r="O204" i="19"/>
  <c r="U54" i="19"/>
  <c r="R104" i="19"/>
  <c r="O154" i="19"/>
  <c r="R204" i="19"/>
  <c r="O254" i="19"/>
  <c r="L204" i="19"/>
  <c r="L54" i="19"/>
  <c r="O54" i="19"/>
  <c r="L254" i="19"/>
  <c r="R54" i="19"/>
  <c r="L104" i="19"/>
  <c r="R254" i="19"/>
  <c r="O104" i="19"/>
  <c r="L154" i="19"/>
  <c r="V252" i="19"/>
  <c r="S252" i="19"/>
  <c r="V152" i="19"/>
  <c r="S202" i="19"/>
  <c r="P152" i="19"/>
  <c r="M202" i="19"/>
  <c r="P102" i="19"/>
  <c r="M152" i="19"/>
  <c r="S152" i="19"/>
  <c r="P202" i="19"/>
  <c r="J202" i="19"/>
  <c r="M52" i="19"/>
  <c r="P252" i="19"/>
  <c r="M102" i="19"/>
  <c r="J102" i="19"/>
  <c r="J52" i="19"/>
  <c r="J152" i="19"/>
  <c r="AF146" i="1"/>
  <c r="W253" i="19"/>
  <c r="W53" i="19"/>
  <c r="W203" i="19"/>
  <c r="T253" i="19"/>
  <c r="W153" i="19"/>
  <c r="T203" i="19"/>
  <c r="W103" i="19"/>
  <c r="T103" i="19"/>
  <c r="Q153" i="19"/>
  <c r="N203" i="19"/>
  <c r="T53" i="19"/>
  <c r="Q103" i="19"/>
  <c r="N153" i="19"/>
  <c r="Q253" i="19"/>
  <c r="Q53" i="19"/>
  <c r="N103" i="19"/>
  <c r="K203" i="19"/>
  <c r="N53" i="19"/>
  <c r="K253" i="19"/>
  <c r="T153" i="19"/>
  <c r="N253" i="19"/>
  <c r="K153" i="19"/>
  <c r="Q203" i="19"/>
  <c r="K103" i="19"/>
  <c r="K53" i="19"/>
  <c r="V205" i="19"/>
  <c r="S255" i="19"/>
  <c r="V155" i="19"/>
  <c r="S205" i="19"/>
  <c r="V105" i="19"/>
  <c r="S155" i="19"/>
  <c r="V255" i="19"/>
  <c r="V55" i="19"/>
  <c r="S55" i="19"/>
  <c r="P105" i="19"/>
  <c r="M155" i="19"/>
  <c r="P255" i="19"/>
  <c r="P55" i="19"/>
  <c r="M105" i="19"/>
  <c r="M55" i="19"/>
  <c r="J255" i="19"/>
  <c r="S105" i="19"/>
  <c r="P155" i="19"/>
  <c r="M205" i="19"/>
  <c r="J105" i="19"/>
  <c r="M255" i="19"/>
  <c r="J205" i="19"/>
  <c r="P205" i="19"/>
  <c r="J155" i="19"/>
  <c r="J55" i="19"/>
  <c r="V103" i="19"/>
  <c r="V253" i="19"/>
  <c r="V53" i="19"/>
  <c r="V203" i="19"/>
  <c r="S253" i="19"/>
  <c r="V153" i="19"/>
  <c r="S203" i="19"/>
  <c r="S153" i="19"/>
  <c r="P203" i="19"/>
  <c r="M253" i="19"/>
  <c r="S103" i="19"/>
  <c r="P153" i="19"/>
  <c r="M203" i="19"/>
  <c r="J153" i="19"/>
  <c r="P253" i="19"/>
  <c r="P53" i="19"/>
  <c r="M103" i="19"/>
  <c r="J203" i="19"/>
  <c r="P103" i="19"/>
  <c r="J103" i="19"/>
  <c r="J53" i="19"/>
  <c r="M53" i="19"/>
  <c r="J253" i="19"/>
  <c r="S53" i="19"/>
  <c r="M153" i="19"/>
  <c r="X101" i="19"/>
  <c r="X251" i="19"/>
  <c r="X51" i="19"/>
  <c r="X201" i="19"/>
  <c r="U251" i="19"/>
  <c r="X151" i="19"/>
  <c r="U201" i="19"/>
  <c r="U151" i="19"/>
  <c r="R201" i="19"/>
  <c r="O251" i="19"/>
  <c r="U101" i="19"/>
  <c r="R151" i="19"/>
  <c r="O201" i="19"/>
  <c r="U51" i="19"/>
  <c r="R101" i="19"/>
  <c r="O151" i="19"/>
  <c r="L151" i="19"/>
  <c r="L201" i="19"/>
  <c r="R51" i="19"/>
  <c r="R251" i="19"/>
  <c r="O101" i="19"/>
  <c r="L101" i="19"/>
  <c r="L51" i="19"/>
  <c r="O51" i="19"/>
  <c r="L251" i="19"/>
  <c r="W155" i="19"/>
  <c r="T205" i="19"/>
  <c r="W105" i="19"/>
  <c r="T155" i="19"/>
  <c r="W255" i="19"/>
  <c r="W55" i="19"/>
  <c r="W205" i="19"/>
  <c r="T255" i="19"/>
  <c r="Q255" i="19"/>
  <c r="Q55" i="19"/>
  <c r="N105" i="19"/>
  <c r="Q205" i="19"/>
  <c r="N255" i="19"/>
  <c r="T105" i="19"/>
  <c r="Q155" i="19"/>
  <c r="N205" i="19"/>
  <c r="K105" i="19"/>
  <c r="K155" i="19"/>
  <c r="T55" i="19"/>
  <c r="N155" i="19"/>
  <c r="K55" i="19"/>
  <c r="N55" i="19"/>
  <c r="K255" i="19"/>
  <c r="Q105" i="19"/>
  <c r="K205" i="19"/>
  <c r="AF140" i="1"/>
  <c r="W151" i="19"/>
  <c r="T201" i="19"/>
  <c r="W101" i="19"/>
  <c r="W251" i="19"/>
  <c r="W51" i="19"/>
  <c r="W201" i="19"/>
  <c r="T251" i="19"/>
  <c r="Q251" i="19"/>
  <c r="Q51" i="19"/>
  <c r="N101" i="19"/>
  <c r="T151" i="19"/>
  <c r="Q201" i="19"/>
  <c r="N251" i="19"/>
  <c r="K101" i="19"/>
  <c r="T51" i="19"/>
  <c r="Q101" i="19"/>
  <c r="N151" i="19"/>
  <c r="K151" i="19"/>
  <c r="T101" i="19"/>
  <c r="N201" i="19"/>
  <c r="N51" i="19"/>
  <c r="K251" i="19"/>
  <c r="K201" i="19"/>
  <c r="K51" i="19"/>
  <c r="Q151" i="19"/>
  <c r="AF153" i="1"/>
  <c r="X105" i="19"/>
  <c r="U155" i="19"/>
  <c r="X255" i="19"/>
  <c r="X55" i="19"/>
  <c r="X205" i="19"/>
  <c r="U255" i="19"/>
  <c r="X155" i="19"/>
  <c r="U205" i="19"/>
  <c r="R205" i="19"/>
  <c r="O255" i="19"/>
  <c r="U105" i="19"/>
  <c r="R155" i="19"/>
  <c r="O205" i="19"/>
  <c r="L155" i="19"/>
  <c r="R255" i="19"/>
  <c r="R55" i="19"/>
  <c r="O105" i="19"/>
  <c r="L205" i="19"/>
  <c r="U55" i="19"/>
  <c r="O155" i="19"/>
  <c r="L105" i="19"/>
  <c r="L55" i="19"/>
  <c r="O55" i="19"/>
  <c r="L255" i="19"/>
  <c r="R105" i="19"/>
  <c r="X203" i="19"/>
  <c r="U253" i="19"/>
  <c r="X153" i="19"/>
  <c r="U203" i="19"/>
  <c r="X103" i="19"/>
  <c r="X253" i="19"/>
  <c r="X53" i="19"/>
  <c r="U53" i="19"/>
  <c r="R103" i="19"/>
  <c r="O153" i="19"/>
  <c r="R253" i="19"/>
  <c r="R53" i="19"/>
  <c r="O103" i="19"/>
  <c r="O53" i="19"/>
  <c r="L253" i="19"/>
  <c r="U153" i="19"/>
  <c r="R203" i="19"/>
  <c r="O253" i="19"/>
  <c r="L103" i="19"/>
  <c r="L53" i="19"/>
  <c r="L153" i="19"/>
  <c r="R153" i="19"/>
  <c r="L203" i="19"/>
  <c r="U103" i="19"/>
  <c r="O203" i="19"/>
  <c r="AF143" i="1"/>
  <c r="W202" i="19"/>
  <c r="T252" i="19"/>
  <c r="W152" i="19"/>
  <c r="T202" i="19"/>
  <c r="W102" i="19"/>
  <c r="W252" i="19"/>
  <c r="W52" i="19"/>
  <c r="T52" i="19"/>
  <c r="Q102" i="19"/>
  <c r="N152" i="19"/>
  <c r="Q252" i="19"/>
  <c r="Q52" i="19"/>
  <c r="N102" i="19"/>
  <c r="N52" i="19"/>
  <c r="K252" i="19"/>
  <c r="T102" i="19"/>
  <c r="Q152" i="19"/>
  <c r="N202" i="19"/>
  <c r="K102" i="19"/>
  <c r="Q202" i="19"/>
  <c r="K202" i="19"/>
  <c r="K52" i="19"/>
  <c r="T152" i="19"/>
  <c r="N252" i="19"/>
  <c r="K152" i="19"/>
  <c r="AF149" i="1"/>
  <c r="W104" i="19"/>
  <c r="W254" i="19"/>
  <c r="W54" i="19"/>
  <c r="W204" i="19"/>
  <c r="T254" i="19"/>
  <c r="W154" i="19"/>
  <c r="T204" i="19"/>
  <c r="T154" i="19"/>
  <c r="Q204" i="19"/>
  <c r="N254" i="19"/>
  <c r="T104" i="19"/>
  <c r="Q154" i="19"/>
  <c r="N204" i="19"/>
  <c r="T54" i="19"/>
  <c r="Q104" i="19"/>
  <c r="N154" i="19"/>
  <c r="K154" i="19"/>
  <c r="K204" i="19"/>
  <c r="Q254" i="19"/>
  <c r="N104" i="19"/>
  <c r="Q54" i="19"/>
  <c r="K104" i="19"/>
  <c r="K54" i="19"/>
  <c r="N54" i="19"/>
  <c r="K254" i="19"/>
  <c r="V201" i="19"/>
  <c r="S251" i="19"/>
  <c r="V151" i="19"/>
  <c r="S201" i="19"/>
  <c r="V101" i="19"/>
  <c r="V251" i="19"/>
  <c r="V51" i="19"/>
  <c r="S51" i="19"/>
  <c r="P101" i="19"/>
  <c r="M151" i="19"/>
  <c r="P251" i="19"/>
  <c r="P51" i="19"/>
  <c r="M101" i="19"/>
  <c r="M51" i="19"/>
  <c r="J251" i="19"/>
  <c r="S151" i="19"/>
  <c r="P201" i="19"/>
  <c r="M251" i="19"/>
  <c r="J101" i="19"/>
  <c r="J151" i="19"/>
  <c r="S101" i="19"/>
  <c r="M201" i="19"/>
  <c r="J201" i="19"/>
  <c r="J51" i="19"/>
  <c r="P151" i="19"/>
  <c r="AF147" i="1"/>
  <c r="AF139" i="1"/>
  <c r="AF151" i="1"/>
  <c r="AF145" i="1"/>
  <c r="AF141" i="1"/>
  <c r="AF152" i="1"/>
  <c r="AB100" i="1"/>
  <c r="AF100" i="1" s="1"/>
  <c r="AC100" i="1"/>
  <c r="V154" i="19" l="1"/>
  <c r="J252" i="19"/>
  <c r="S52" i="19"/>
  <c r="V202" i="19"/>
  <c r="V52" i="19"/>
  <c r="P52" i="19"/>
  <c r="M252" i="19"/>
  <c r="S102" i="19"/>
  <c r="AF142" i="1"/>
  <c r="M204" i="19"/>
  <c r="J204" i="19"/>
  <c r="J104" i="19"/>
  <c r="P54" i="19"/>
  <c r="P254" i="19"/>
  <c r="J54" i="19"/>
  <c r="V204" i="19"/>
  <c r="M154" i="19"/>
  <c r="P104" i="19"/>
  <c r="J254" i="19"/>
  <c r="M254" i="19"/>
  <c r="V54" i="19"/>
  <c r="M54" i="19"/>
  <c r="P204" i="19"/>
  <c r="V254" i="19"/>
  <c r="P154" i="19"/>
  <c r="S154" i="19"/>
  <c r="V104" i="19"/>
  <c r="AF148" i="1"/>
  <c r="J154" i="19"/>
  <c r="M104" i="19"/>
  <c r="S204" i="19"/>
  <c r="S104" i="19"/>
  <c r="S54" i="19"/>
  <c r="J238" i="19"/>
  <c r="S188" i="19"/>
  <c r="S238" i="19"/>
  <c r="J88" i="19"/>
  <c r="M238" i="19"/>
  <c r="V138" i="19"/>
  <c r="V188" i="19"/>
  <c r="M88" i="19"/>
  <c r="S38" i="19"/>
  <c r="J138" i="19"/>
  <c r="M188" i="19"/>
  <c r="M138" i="19"/>
  <c r="M38" i="19"/>
  <c r="P138" i="19"/>
  <c r="J38" i="19"/>
  <c r="S88" i="19"/>
  <c r="J188" i="19"/>
  <c r="P88" i="19"/>
  <c r="P38" i="19"/>
  <c r="P188" i="19"/>
  <c r="V88" i="19"/>
  <c r="V38" i="19"/>
  <c r="V238" i="19"/>
  <c r="P238" i="19"/>
  <c r="S138" i="19"/>
  <c r="L36" i="19"/>
  <c r="L32" i="19"/>
  <c r="K32" i="19"/>
  <c r="L26" i="19"/>
  <c r="L18" i="19"/>
  <c r="K18" i="19"/>
  <c r="L9" i="19"/>
  <c r="K9" i="19"/>
  <c r="F221" i="13" l="1"/>
  <c r="F220" i="13"/>
  <c r="F219" i="13"/>
  <c r="F218" i="13"/>
  <c r="F217" i="13"/>
  <c r="F216" i="13"/>
  <c r="F215" i="13"/>
  <c r="F214" i="13"/>
  <c r="F213" i="13"/>
  <c r="F212" i="13"/>
  <c r="F211" i="13"/>
  <c r="F210" i="13"/>
  <c r="W85" i="1" l="1"/>
  <c r="T85" i="1"/>
  <c r="K85" i="1"/>
  <c r="L85" i="1" l="1"/>
  <c r="AA85" i="1" s="1"/>
  <c r="AB85" i="1" l="1"/>
  <c r="AC85" i="1"/>
  <c r="T33" i="1" l="1"/>
  <c r="T21" i="1" l="1"/>
  <c r="AE21" i="1" s="1"/>
  <c r="AD21" i="1" s="1"/>
  <c r="T20" i="1"/>
  <c r="AE20" i="1" s="1"/>
  <c r="AD20" i="1" s="1"/>
  <c r="T18" i="1"/>
  <c r="AE18" i="1" s="1"/>
  <c r="AD18" i="1" s="1"/>
  <c r="T17" i="1"/>
  <c r="AE17" i="1" s="1"/>
  <c r="AD17" i="1" s="1"/>
  <c r="W136" i="1"/>
  <c r="T136" i="1"/>
  <c r="K136" i="1"/>
  <c r="W135" i="1"/>
  <c r="T135" i="1"/>
  <c r="AD135" i="1" s="1"/>
  <c r="W134" i="1"/>
  <c r="T134" i="1"/>
  <c r="AD134" i="1" s="1"/>
  <c r="W133" i="1"/>
  <c r="T133" i="1"/>
  <c r="K133" i="1"/>
  <c r="W132" i="1"/>
  <c r="T132" i="1"/>
  <c r="AD132" i="1" s="1"/>
  <c r="W131" i="1"/>
  <c r="T131" i="1"/>
  <c r="AD131" i="1" s="1"/>
  <c r="W130" i="1"/>
  <c r="T130" i="1"/>
  <c r="K130" i="1"/>
  <c r="T129" i="1"/>
  <c r="AE129" i="1" s="1"/>
  <c r="AD129" i="1" s="1"/>
  <c r="T128" i="1"/>
  <c r="AE128" i="1" s="1"/>
  <c r="AD128" i="1" s="1"/>
  <c r="W127" i="1"/>
  <c r="T127" i="1"/>
  <c r="K127" i="1"/>
  <c r="L136" i="1" l="1"/>
  <c r="AA136" i="1" s="1"/>
  <c r="L133" i="1"/>
  <c r="AA133" i="1" s="1"/>
  <c r="AA134" i="1" s="1"/>
  <c r="AA135" i="1" s="1"/>
  <c r="L130" i="1"/>
  <c r="AA130" i="1" s="1"/>
  <c r="AA131" i="1" s="1"/>
  <c r="AA132" i="1" s="1"/>
  <c r="L127" i="1"/>
  <c r="AA127" i="1" s="1"/>
  <c r="AA128" i="1" s="1"/>
  <c r="AA129" i="1" s="1"/>
  <c r="T123" i="1"/>
  <c r="W122" i="1"/>
  <c r="T122" i="1"/>
  <c r="W121" i="1"/>
  <c r="T121" i="1"/>
  <c r="K121" i="1"/>
  <c r="W120" i="1"/>
  <c r="T120" i="1"/>
  <c r="W119" i="1"/>
  <c r="T119" i="1"/>
  <c r="W118" i="1"/>
  <c r="T118" i="1"/>
  <c r="K118" i="1"/>
  <c r="T117" i="1"/>
  <c r="W116" i="1"/>
  <c r="T116" i="1"/>
  <c r="W115" i="1"/>
  <c r="T115" i="1"/>
  <c r="K115" i="1"/>
  <c r="T114" i="1"/>
  <c r="W113" i="1"/>
  <c r="T113" i="1"/>
  <c r="W112" i="1"/>
  <c r="T112" i="1"/>
  <c r="K112" i="1"/>
  <c r="T111" i="1"/>
  <c r="W110" i="1"/>
  <c r="T110" i="1"/>
  <c r="W109" i="1"/>
  <c r="T109" i="1"/>
  <c r="K109" i="1"/>
  <c r="K124" i="1"/>
  <c r="K106" i="1"/>
  <c r="K103" i="1"/>
  <c r="K97" i="1"/>
  <c r="K94" i="1"/>
  <c r="K91" i="1"/>
  <c r="K88" i="1"/>
  <c r="K82" i="1"/>
  <c r="K79" i="1"/>
  <c r="K76" i="1"/>
  <c r="K73" i="1"/>
  <c r="K67" i="1"/>
  <c r="K64" i="1"/>
  <c r="K61" i="1"/>
  <c r="K58" i="1"/>
  <c r="K55" i="1"/>
  <c r="K52" i="1"/>
  <c r="K49" i="1"/>
  <c r="K46" i="1"/>
  <c r="K43" i="1"/>
  <c r="K40" i="1"/>
  <c r="K37" i="1"/>
  <c r="K34" i="1"/>
  <c r="K31" i="1"/>
  <c r="K28" i="1"/>
  <c r="K25" i="1"/>
  <c r="K22" i="1"/>
  <c r="K19" i="1"/>
  <c r="K16" i="1"/>
  <c r="K13" i="1"/>
  <c r="K10" i="1"/>
  <c r="T126" i="1"/>
  <c r="AE126" i="1" s="1"/>
  <c r="AD126" i="1" s="1"/>
  <c r="T125" i="1"/>
  <c r="AE125" i="1" s="1"/>
  <c r="AD125" i="1" s="1"/>
  <c r="W124" i="1"/>
  <c r="T124" i="1"/>
  <c r="T108" i="1"/>
  <c r="W107" i="1"/>
  <c r="T107" i="1"/>
  <c r="T105" i="1"/>
  <c r="W104" i="1"/>
  <c r="T104" i="1"/>
  <c r="W103" i="1"/>
  <c r="T103" i="1"/>
  <c r="T96" i="1"/>
  <c r="W95" i="1"/>
  <c r="T95" i="1"/>
  <c r="T93" i="1"/>
  <c r="W94" i="1"/>
  <c r="T94" i="1"/>
  <c r="W92" i="1"/>
  <c r="T92" i="1"/>
  <c r="AA92" i="1" s="1"/>
  <c r="T90" i="1"/>
  <c r="T89" i="1"/>
  <c r="W84" i="1"/>
  <c r="T84" i="1"/>
  <c r="W83" i="1"/>
  <c r="T83" i="1"/>
  <c r="W81" i="1"/>
  <c r="T81" i="1"/>
  <c r="AD81" i="1" s="1"/>
  <c r="W80" i="1"/>
  <c r="T80" i="1"/>
  <c r="T78" i="1"/>
  <c r="W76" i="1"/>
  <c r="T76" i="1"/>
  <c r="T77" i="1"/>
  <c r="W73" i="1"/>
  <c r="T73" i="1"/>
  <c r="T66" i="1"/>
  <c r="T63" i="1"/>
  <c r="AE63" i="1" s="1"/>
  <c r="AD63" i="1" s="1"/>
  <c r="T62" i="1"/>
  <c r="T60" i="1"/>
  <c r="AE60" i="1" s="1"/>
  <c r="AD60" i="1" s="1"/>
  <c r="T59" i="1"/>
  <c r="T57" i="1"/>
  <c r="AE57" i="1" s="1"/>
  <c r="AD57" i="1" s="1"/>
  <c r="W56" i="1"/>
  <c r="T56" i="1"/>
  <c r="T54" i="1"/>
  <c r="T53" i="1"/>
  <c r="T51" i="1"/>
  <c r="AE51" i="1" s="1"/>
  <c r="AD51" i="1" s="1"/>
  <c r="W52" i="1"/>
  <c r="T52" i="1"/>
  <c r="T50" i="1"/>
  <c r="T48" i="1"/>
  <c r="AE48" i="1" s="1"/>
  <c r="AD48" i="1" s="1"/>
  <c r="T47" i="1"/>
  <c r="T45" i="1"/>
  <c r="AE45" i="1" s="1"/>
  <c r="AD45" i="1" s="1"/>
  <c r="W44" i="1"/>
  <c r="T44" i="1"/>
  <c r="W46" i="1"/>
  <c r="T46" i="1"/>
  <c r="W43" i="1"/>
  <c r="T43" i="1"/>
  <c r="T42" i="1"/>
  <c r="T41" i="1"/>
  <c r="W40" i="1"/>
  <c r="T40" i="1"/>
  <c r="T39" i="1"/>
  <c r="AE39" i="1" s="1"/>
  <c r="AD39" i="1" s="1"/>
  <c r="T38" i="1"/>
  <c r="W37" i="1"/>
  <c r="T37" i="1"/>
  <c r="T36" i="1"/>
  <c r="AE36" i="1" s="1"/>
  <c r="AD36" i="1" s="1"/>
  <c r="T35" i="1"/>
  <c r="W34" i="1"/>
  <c r="T34" i="1"/>
  <c r="W33" i="1"/>
  <c r="AD33" i="1"/>
  <c r="W32" i="1"/>
  <c r="T32" i="1"/>
  <c r="W31" i="1"/>
  <c r="T31" i="1"/>
  <c r="T30" i="1"/>
  <c r="AE30" i="1" s="1"/>
  <c r="AD30" i="1" s="1"/>
  <c r="W29" i="1"/>
  <c r="T29" i="1"/>
  <c r="W28" i="1"/>
  <c r="T28" i="1"/>
  <c r="T27" i="1"/>
  <c r="AE27" i="1" s="1"/>
  <c r="AD27" i="1" s="1"/>
  <c r="T26" i="1"/>
  <c r="W25" i="1"/>
  <c r="T25" i="1"/>
  <c r="W24" i="1"/>
  <c r="T24" i="1"/>
  <c r="AE24" i="1" s="1"/>
  <c r="AD24" i="1" s="1"/>
  <c r="W23" i="1"/>
  <c r="T23" i="1"/>
  <c r="AE26" i="1" l="1"/>
  <c r="AD26" i="1" s="1"/>
  <c r="AD32" i="1"/>
  <c r="AE38" i="1"/>
  <c r="AD38" i="1" s="1"/>
  <c r="AD56" i="1"/>
  <c r="AE62" i="1"/>
  <c r="AD62" i="1" s="1"/>
  <c r="AD80" i="1"/>
  <c r="AE89" i="1"/>
  <c r="AD89" i="1" s="1"/>
  <c r="AE93" i="1"/>
  <c r="AD93" i="1" s="1"/>
  <c r="AA93" i="1"/>
  <c r="AE114" i="1"/>
  <c r="AD114" i="1" s="1"/>
  <c r="AD119" i="1"/>
  <c r="AE23" i="1"/>
  <c r="AD23" i="1" s="1"/>
  <c r="AD29" i="1"/>
  <c r="AE35" i="1"/>
  <c r="AD35" i="1" s="1"/>
  <c r="AE47" i="1"/>
  <c r="AD47" i="1" s="1"/>
  <c r="AE50" i="1"/>
  <c r="AD50" i="1" s="1"/>
  <c r="AE54" i="1"/>
  <c r="AD54" i="1" s="1"/>
  <c r="AE77" i="1"/>
  <c r="AD77" i="1" s="1"/>
  <c r="AE78" i="1"/>
  <c r="AD78" i="1" s="1"/>
  <c r="AE90" i="1"/>
  <c r="AD90" i="1" s="1"/>
  <c r="AD95" i="1"/>
  <c r="AD104" i="1"/>
  <c r="AD107" i="1"/>
  <c r="AE111" i="1"/>
  <c r="AD111" i="1" s="1"/>
  <c r="AD116" i="1"/>
  <c r="AE53" i="1"/>
  <c r="AD53" i="1" s="1"/>
  <c r="AE59" i="1"/>
  <c r="AD59" i="1" s="1"/>
  <c r="AE96" i="1"/>
  <c r="AD96" i="1" s="1"/>
  <c r="AE105" i="1"/>
  <c r="AD105" i="1" s="1"/>
  <c r="AE108" i="1"/>
  <c r="AD108" i="1" s="1"/>
  <c r="AD110" i="1"/>
  <c r="AE117" i="1"/>
  <c r="AD117" i="1" s="1"/>
  <c r="AE122" i="1"/>
  <c r="AD122" i="1" s="1"/>
  <c r="AD113" i="1"/>
  <c r="AD120" i="1"/>
  <c r="AE92" i="1"/>
  <c r="AD92" i="1" s="1"/>
  <c r="AD44" i="1"/>
  <c r="AB136" i="1"/>
  <c r="AC136" i="1"/>
  <c r="AB133" i="1"/>
  <c r="AC133" i="1"/>
  <c r="AB135" i="1"/>
  <c r="AC135" i="1"/>
  <c r="AB134" i="1"/>
  <c r="AC134" i="1"/>
  <c r="AB130" i="1"/>
  <c r="AC130" i="1"/>
  <c r="AB132" i="1"/>
  <c r="AC132" i="1"/>
  <c r="AB131" i="1"/>
  <c r="AC131" i="1"/>
  <c r="AB127" i="1"/>
  <c r="AC127" i="1"/>
  <c r="AB129" i="1"/>
  <c r="AC129" i="1"/>
  <c r="AB128" i="1"/>
  <c r="AC128" i="1"/>
  <c r="L121" i="1"/>
  <c r="AA121" i="1" s="1"/>
  <c r="AA122" i="1" s="1"/>
  <c r="L118" i="1"/>
  <c r="AA118" i="1" s="1"/>
  <c r="AA119" i="1" s="1"/>
  <c r="AA120" i="1" s="1"/>
  <c r="L115" i="1"/>
  <c r="AA115" i="1" s="1"/>
  <c r="AA116" i="1" s="1"/>
  <c r="AA117" i="1" s="1"/>
  <c r="L112" i="1"/>
  <c r="AA112" i="1" s="1"/>
  <c r="AA113" i="1" s="1"/>
  <c r="AA114" i="1" s="1"/>
  <c r="L109" i="1"/>
  <c r="AA109" i="1" s="1"/>
  <c r="AA110" i="1" s="1"/>
  <c r="AA111" i="1" s="1"/>
  <c r="L124" i="1"/>
  <c r="AA124" i="1" s="1"/>
  <c r="AA125" i="1" s="1"/>
  <c r="AA126" i="1" s="1"/>
  <c r="L106" i="1"/>
  <c r="L103" i="1"/>
  <c r="AA103" i="1" s="1"/>
  <c r="AA104" i="1" s="1"/>
  <c r="AA105" i="1" s="1"/>
  <c r="L97" i="1"/>
  <c r="L94" i="1"/>
  <c r="AA94" i="1" s="1"/>
  <c r="AA95" i="1" s="1"/>
  <c r="AA96" i="1" s="1"/>
  <c r="L91" i="1"/>
  <c r="L88" i="1"/>
  <c r="L82" i="1"/>
  <c r="L79" i="1"/>
  <c r="L76" i="1"/>
  <c r="AA76" i="1" s="1"/>
  <c r="AA77" i="1" s="1"/>
  <c r="AA78" i="1" s="1"/>
  <c r="L73" i="1"/>
  <c r="AA73" i="1" s="1"/>
  <c r="L67" i="1"/>
  <c r="L64" i="1"/>
  <c r="L61" i="1"/>
  <c r="L58" i="1"/>
  <c r="L55" i="1"/>
  <c r="L52" i="1"/>
  <c r="AA52" i="1" s="1"/>
  <c r="AA53" i="1" s="1"/>
  <c r="AA54" i="1" s="1"/>
  <c r="L49" i="1"/>
  <c r="L46" i="1"/>
  <c r="AA46" i="1" s="1"/>
  <c r="AA47" i="1" s="1"/>
  <c r="AA48" i="1" s="1"/>
  <c r="L43" i="1"/>
  <c r="AA43" i="1" s="1"/>
  <c r="AA44" i="1" s="1"/>
  <c r="AA45" i="1" s="1"/>
  <c r="L40" i="1"/>
  <c r="AA40" i="1" s="1"/>
  <c r="L37" i="1"/>
  <c r="AA37" i="1" s="1"/>
  <c r="AA38" i="1" s="1"/>
  <c r="AA39" i="1" s="1"/>
  <c r="L34" i="1"/>
  <c r="AA34" i="1" s="1"/>
  <c r="AA35" i="1" s="1"/>
  <c r="AA36" i="1" s="1"/>
  <c r="L31" i="1"/>
  <c r="AA31" i="1" s="1"/>
  <c r="AA32" i="1" s="1"/>
  <c r="AA33" i="1" s="1"/>
  <c r="L28" i="1"/>
  <c r="AA28" i="1" s="1"/>
  <c r="AA29" i="1" s="1"/>
  <c r="AA30" i="1" s="1"/>
  <c r="L25" i="1"/>
  <c r="AA25" i="1" s="1"/>
  <c r="AA26" i="1" s="1"/>
  <c r="AA27" i="1" s="1"/>
  <c r="L22" i="1"/>
  <c r="L19" i="1"/>
  <c r="L16" i="1"/>
  <c r="L13" i="1"/>
  <c r="L10" i="1"/>
  <c r="T16" i="1"/>
  <c r="W16" i="1"/>
  <c r="T19" i="1"/>
  <c r="W19" i="1"/>
  <c r="T22" i="1"/>
  <c r="W22" i="1"/>
  <c r="T49" i="1"/>
  <c r="W49" i="1"/>
  <c r="T55" i="1"/>
  <c r="W55" i="1"/>
  <c r="T58" i="1"/>
  <c r="W58" i="1"/>
  <c r="T61" i="1"/>
  <c r="W61" i="1"/>
  <c r="T64" i="1"/>
  <c r="W64" i="1"/>
  <c r="T67" i="1"/>
  <c r="W67" i="1"/>
  <c r="T79" i="1"/>
  <c r="W79" i="1"/>
  <c r="T82" i="1"/>
  <c r="W82" i="1"/>
  <c r="T88" i="1"/>
  <c r="W88" i="1"/>
  <c r="T91" i="1"/>
  <c r="W91" i="1"/>
  <c r="T97" i="1"/>
  <c r="W97" i="1"/>
  <c r="T106" i="1"/>
  <c r="W106" i="1"/>
  <c r="T14" i="1"/>
  <c r="T15" i="1"/>
  <c r="T11" i="1"/>
  <c r="T12" i="1"/>
  <c r="W147" i="19" l="1"/>
  <c r="T197" i="19"/>
  <c r="W97" i="19"/>
  <c r="W247" i="19"/>
  <c r="W47" i="19"/>
  <c r="W197" i="19"/>
  <c r="T247" i="19"/>
  <c r="Q247" i="19"/>
  <c r="Q47" i="19"/>
  <c r="T147" i="19"/>
  <c r="Q197" i="19"/>
  <c r="N247" i="19"/>
  <c r="T97" i="19"/>
  <c r="Q147" i="19"/>
  <c r="N197" i="19"/>
  <c r="K97" i="19"/>
  <c r="K147" i="19"/>
  <c r="Q97" i="19"/>
  <c r="K47" i="19"/>
  <c r="N47" i="19"/>
  <c r="K247" i="19"/>
  <c r="T47" i="19"/>
  <c r="N147" i="19"/>
  <c r="N97" i="19"/>
  <c r="K197" i="19"/>
  <c r="X148" i="19"/>
  <c r="U198" i="19"/>
  <c r="X98" i="19"/>
  <c r="X248" i="19"/>
  <c r="X48" i="19"/>
  <c r="X198" i="19"/>
  <c r="U248" i="19"/>
  <c r="R248" i="19"/>
  <c r="R48" i="19"/>
  <c r="U148" i="19"/>
  <c r="R198" i="19"/>
  <c r="O248" i="19"/>
  <c r="L98" i="19"/>
  <c r="U48" i="19"/>
  <c r="R98" i="19"/>
  <c r="O148" i="19"/>
  <c r="L148" i="19"/>
  <c r="R148" i="19"/>
  <c r="O48" i="19"/>
  <c r="L248" i="19"/>
  <c r="O98" i="19"/>
  <c r="L198" i="19"/>
  <c r="U98" i="19"/>
  <c r="O198" i="19"/>
  <c r="L48" i="19"/>
  <c r="W249" i="19"/>
  <c r="W49" i="19"/>
  <c r="W199" i="19"/>
  <c r="T249" i="19"/>
  <c r="W149" i="19"/>
  <c r="T199" i="19"/>
  <c r="W99" i="19"/>
  <c r="T99" i="19"/>
  <c r="Q149" i="19"/>
  <c r="N199" i="19"/>
  <c r="T49" i="19"/>
  <c r="Q99" i="19"/>
  <c r="N149" i="19"/>
  <c r="T149" i="19"/>
  <c r="Q199" i="19"/>
  <c r="N249" i="19"/>
  <c r="N99" i="19"/>
  <c r="K199" i="19"/>
  <c r="N49" i="19"/>
  <c r="K249" i="19"/>
  <c r="Q49" i="19"/>
  <c r="K99" i="19"/>
  <c r="Q249" i="19"/>
  <c r="K149" i="19"/>
  <c r="K49" i="19"/>
  <c r="X250" i="19"/>
  <c r="X50" i="19"/>
  <c r="X200" i="19"/>
  <c r="U250" i="19"/>
  <c r="X150" i="19"/>
  <c r="U200" i="19"/>
  <c r="X100" i="19"/>
  <c r="U100" i="19"/>
  <c r="R150" i="19"/>
  <c r="O200" i="19"/>
  <c r="U50" i="19"/>
  <c r="R100" i="19"/>
  <c r="O150" i="19"/>
  <c r="R250" i="19"/>
  <c r="R50" i="19"/>
  <c r="O100" i="19"/>
  <c r="L200" i="19"/>
  <c r="L50" i="19"/>
  <c r="O50" i="19"/>
  <c r="L250" i="19"/>
  <c r="R200" i="19"/>
  <c r="L150" i="19"/>
  <c r="U150" i="19"/>
  <c r="O250" i="19"/>
  <c r="L100" i="19"/>
  <c r="X97" i="19"/>
  <c r="X247" i="19"/>
  <c r="X47" i="19"/>
  <c r="X197" i="19"/>
  <c r="U247" i="19"/>
  <c r="X147" i="19"/>
  <c r="U197" i="19"/>
  <c r="U147" i="19"/>
  <c r="R197" i="19"/>
  <c r="O247" i="19"/>
  <c r="U97" i="19"/>
  <c r="R147" i="19"/>
  <c r="O197" i="19"/>
  <c r="L147" i="19"/>
  <c r="R247" i="19"/>
  <c r="R47" i="19"/>
  <c r="O97" i="19"/>
  <c r="L197" i="19"/>
  <c r="R97" i="19"/>
  <c r="L97" i="19"/>
  <c r="L47" i="19"/>
  <c r="O47" i="19"/>
  <c r="L247" i="19"/>
  <c r="U47" i="19"/>
  <c r="O147" i="19"/>
  <c r="W198" i="19"/>
  <c r="T248" i="19"/>
  <c r="W148" i="19"/>
  <c r="T198" i="19"/>
  <c r="W98" i="19"/>
  <c r="W248" i="19"/>
  <c r="W48" i="19"/>
  <c r="T48" i="19"/>
  <c r="Q98" i="19"/>
  <c r="N148" i="19"/>
  <c r="Q248" i="19"/>
  <c r="Q48" i="19"/>
  <c r="N48" i="19"/>
  <c r="K248" i="19"/>
  <c r="T148" i="19"/>
  <c r="Q198" i="19"/>
  <c r="N248" i="19"/>
  <c r="K98" i="19"/>
  <c r="K148" i="19"/>
  <c r="K48" i="19"/>
  <c r="Q148" i="19"/>
  <c r="N98" i="19"/>
  <c r="K198" i="19"/>
  <c r="T98" i="19"/>
  <c r="N198" i="19"/>
  <c r="X199" i="19"/>
  <c r="U249" i="19"/>
  <c r="X149" i="19"/>
  <c r="U199" i="19"/>
  <c r="X99" i="19"/>
  <c r="X249" i="19"/>
  <c r="X49" i="19"/>
  <c r="U49" i="19"/>
  <c r="R99" i="19"/>
  <c r="O149" i="19"/>
  <c r="R249" i="19"/>
  <c r="R49" i="19"/>
  <c r="O49" i="19"/>
  <c r="L249" i="19"/>
  <c r="U99" i="19"/>
  <c r="R149" i="19"/>
  <c r="O199" i="19"/>
  <c r="L99" i="19"/>
  <c r="L49" i="19"/>
  <c r="U149" i="19"/>
  <c r="O249" i="19"/>
  <c r="O99" i="19"/>
  <c r="L199" i="19"/>
  <c r="R199" i="19"/>
  <c r="L149" i="19"/>
  <c r="W100" i="19"/>
  <c r="W250" i="19"/>
  <c r="W50" i="19"/>
  <c r="W200" i="19"/>
  <c r="T250" i="19"/>
  <c r="W150" i="19"/>
  <c r="T200" i="19"/>
  <c r="T150" i="19"/>
  <c r="Q200" i="19"/>
  <c r="N250" i="19"/>
  <c r="T100" i="19"/>
  <c r="Q150" i="19"/>
  <c r="N200" i="19"/>
  <c r="K150" i="19"/>
  <c r="Q250" i="19"/>
  <c r="Q50" i="19"/>
  <c r="N100" i="19"/>
  <c r="K200" i="19"/>
  <c r="T50" i="19"/>
  <c r="N150" i="19"/>
  <c r="K100" i="19"/>
  <c r="N50" i="19"/>
  <c r="K250" i="19"/>
  <c r="Q100" i="19"/>
  <c r="K50" i="19"/>
  <c r="AA82" i="1"/>
  <c r="AA83" i="1" s="1"/>
  <c r="AA84" i="1" s="1"/>
  <c r="AB84" i="1" s="1"/>
  <c r="AA91" i="1"/>
  <c r="AF134" i="1"/>
  <c r="AF132" i="1"/>
  <c r="AF131" i="1"/>
  <c r="AF128" i="1"/>
  <c r="AF129" i="1"/>
  <c r="AF135" i="1"/>
  <c r="AB121" i="1"/>
  <c r="AC121" i="1"/>
  <c r="AB122" i="1"/>
  <c r="AC122" i="1"/>
  <c r="AB119" i="1"/>
  <c r="AC119" i="1"/>
  <c r="AB118" i="1"/>
  <c r="AC118" i="1"/>
  <c r="AB120" i="1"/>
  <c r="AC120" i="1"/>
  <c r="AB115" i="1"/>
  <c r="AC115" i="1"/>
  <c r="AB116" i="1"/>
  <c r="AC116" i="1"/>
  <c r="AB117" i="1"/>
  <c r="AC117" i="1"/>
  <c r="AB112" i="1"/>
  <c r="AC112" i="1"/>
  <c r="AB113" i="1"/>
  <c r="AC113" i="1"/>
  <c r="AB114" i="1"/>
  <c r="AC114" i="1"/>
  <c r="AB109" i="1"/>
  <c r="AC109" i="1"/>
  <c r="AB110" i="1"/>
  <c r="AC110" i="1"/>
  <c r="AB111" i="1"/>
  <c r="AC111" i="1"/>
  <c r="AB126" i="1"/>
  <c r="AC126" i="1"/>
  <c r="AB125" i="1"/>
  <c r="AC125" i="1"/>
  <c r="AB124" i="1"/>
  <c r="AC124" i="1"/>
  <c r="AB105" i="1"/>
  <c r="AC105" i="1"/>
  <c r="AB104" i="1"/>
  <c r="AC104" i="1"/>
  <c r="AB103" i="1"/>
  <c r="AC103" i="1"/>
  <c r="AB96" i="1"/>
  <c r="AC96" i="1"/>
  <c r="AB95" i="1"/>
  <c r="AC95" i="1"/>
  <c r="AB93" i="1"/>
  <c r="AC93" i="1"/>
  <c r="AB94" i="1"/>
  <c r="AC94" i="1"/>
  <c r="AB92" i="1"/>
  <c r="AC92" i="1"/>
  <c r="AB78" i="1"/>
  <c r="AC78" i="1"/>
  <c r="AB76" i="1"/>
  <c r="AC76" i="1"/>
  <c r="AB77" i="1"/>
  <c r="AC77" i="1"/>
  <c r="AB73" i="1"/>
  <c r="AC73" i="1"/>
  <c r="AB54" i="1"/>
  <c r="AC54" i="1"/>
  <c r="AB53" i="1"/>
  <c r="AC53" i="1"/>
  <c r="AB52" i="1"/>
  <c r="AC52" i="1"/>
  <c r="AB48" i="1"/>
  <c r="AC48" i="1"/>
  <c r="AB47" i="1"/>
  <c r="AC47" i="1"/>
  <c r="AB45" i="1"/>
  <c r="AC45" i="1"/>
  <c r="AB44" i="1"/>
  <c r="AC44" i="1"/>
  <c r="AB46" i="1"/>
  <c r="AC46" i="1"/>
  <c r="AB43" i="1"/>
  <c r="AC43" i="1"/>
  <c r="AB40" i="1"/>
  <c r="AC40" i="1"/>
  <c r="AB39" i="1"/>
  <c r="AC39" i="1"/>
  <c r="AB38" i="1"/>
  <c r="AC38" i="1"/>
  <c r="AB37" i="1"/>
  <c r="AC37" i="1"/>
  <c r="AB36" i="1"/>
  <c r="AC36" i="1"/>
  <c r="AB35" i="1"/>
  <c r="AC35" i="1"/>
  <c r="AB34" i="1"/>
  <c r="AC34" i="1"/>
  <c r="AB33" i="1"/>
  <c r="AC33" i="1"/>
  <c r="AB32" i="1"/>
  <c r="AC32" i="1"/>
  <c r="AB31" i="1"/>
  <c r="AC31" i="1"/>
  <c r="AB30" i="1"/>
  <c r="AC30" i="1"/>
  <c r="AB29" i="1"/>
  <c r="AC29" i="1"/>
  <c r="AB28" i="1"/>
  <c r="AC28" i="1"/>
  <c r="AB27" i="1"/>
  <c r="AC27" i="1"/>
  <c r="AB26" i="1"/>
  <c r="AC26" i="1"/>
  <c r="AB25" i="1"/>
  <c r="AC25" i="1"/>
  <c r="T8" i="1"/>
  <c r="W8" i="1"/>
  <c r="T9" i="1"/>
  <c r="T7" i="1"/>
  <c r="T10" i="1"/>
  <c r="T13" i="1"/>
  <c r="X63" i="19" l="1"/>
  <c r="U113" i="19"/>
  <c r="X113" i="19"/>
  <c r="U163" i="19"/>
  <c r="R213" i="19"/>
  <c r="X163" i="19"/>
  <c r="U213" i="19"/>
  <c r="X213" i="19"/>
  <c r="X13" i="19"/>
  <c r="U63" i="19"/>
  <c r="R63" i="19"/>
  <c r="O113" i="19"/>
  <c r="R163" i="19"/>
  <c r="R113" i="19"/>
  <c r="U13" i="19"/>
  <c r="O213" i="19"/>
  <c r="R13" i="19"/>
  <c r="O63" i="19"/>
  <c r="O163" i="19"/>
  <c r="L163" i="19"/>
  <c r="L113" i="19"/>
  <c r="L63" i="19"/>
  <c r="O13" i="19"/>
  <c r="L213" i="19"/>
  <c r="W66" i="19"/>
  <c r="T116" i="19"/>
  <c r="W116" i="19"/>
  <c r="T166" i="19"/>
  <c r="T16" i="19"/>
  <c r="Q16" i="19"/>
  <c r="W216" i="19"/>
  <c r="W16" i="19"/>
  <c r="T66" i="19"/>
  <c r="Q66" i="19"/>
  <c r="N116" i="19"/>
  <c r="Q166" i="19"/>
  <c r="Q216" i="19"/>
  <c r="Q116" i="19"/>
  <c r="N166" i="19"/>
  <c r="W166" i="19"/>
  <c r="T216" i="19"/>
  <c r="N16" i="19"/>
  <c r="K216" i="19"/>
  <c r="N216" i="19"/>
  <c r="K166" i="19"/>
  <c r="K116" i="19"/>
  <c r="N66" i="19"/>
  <c r="K66" i="19"/>
  <c r="W219" i="19"/>
  <c r="W19" i="19"/>
  <c r="T69" i="19"/>
  <c r="W69" i="19"/>
  <c r="T119" i="19"/>
  <c r="Q219" i="19"/>
  <c r="N219" i="19"/>
  <c r="W169" i="19"/>
  <c r="T219" i="19"/>
  <c r="T19" i="19"/>
  <c r="Q19" i="19"/>
  <c r="N69" i="19"/>
  <c r="Q69" i="19"/>
  <c r="N119" i="19"/>
  <c r="K69" i="19"/>
  <c r="W119" i="19"/>
  <c r="Q119" i="19"/>
  <c r="N169" i="19"/>
  <c r="N19" i="19"/>
  <c r="K219" i="19"/>
  <c r="T169" i="19"/>
  <c r="K169" i="19"/>
  <c r="Q169" i="19"/>
  <c r="K119" i="19"/>
  <c r="W228" i="19"/>
  <c r="W28" i="19"/>
  <c r="T78" i="19"/>
  <c r="W78" i="19"/>
  <c r="T128" i="19"/>
  <c r="Q128" i="19"/>
  <c r="Q178" i="19"/>
  <c r="N228" i="19"/>
  <c r="W128" i="19"/>
  <c r="T178" i="19"/>
  <c r="Q228" i="19"/>
  <c r="Q28" i="19"/>
  <c r="N78" i="19"/>
  <c r="W178" i="19"/>
  <c r="T228" i="19"/>
  <c r="T28" i="19"/>
  <c r="Q78" i="19"/>
  <c r="N128" i="19"/>
  <c r="K78" i="19"/>
  <c r="N28" i="19"/>
  <c r="K228" i="19"/>
  <c r="N178" i="19"/>
  <c r="K178" i="19"/>
  <c r="K128" i="19"/>
  <c r="X229" i="19"/>
  <c r="X29" i="19"/>
  <c r="U79" i="19"/>
  <c r="X79" i="19"/>
  <c r="U129" i="19"/>
  <c r="R179" i="19"/>
  <c r="X129" i="19"/>
  <c r="U179" i="19"/>
  <c r="X179" i="19"/>
  <c r="U229" i="19"/>
  <c r="U29" i="19"/>
  <c r="R29" i="19"/>
  <c r="R79" i="19"/>
  <c r="O179" i="19"/>
  <c r="R129" i="19"/>
  <c r="O229" i="19"/>
  <c r="O29" i="19"/>
  <c r="L229" i="19"/>
  <c r="O129" i="19"/>
  <c r="L179" i="19"/>
  <c r="O79" i="19"/>
  <c r="L129" i="19"/>
  <c r="R229" i="19"/>
  <c r="L79" i="19"/>
  <c r="W135" i="19"/>
  <c r="T185" i="19"/>
  <c r="W185" i="19"/>
  <c r="T235" i="19"/>
  <c r="T35" i="19"/>
  <c r="Q85" i="19"/>
  <c r="N135" i="19"/>
  <c r="W85" i="19"/>
  <c r="T135" i="19"/>
  <c r="W235" i="19"/>
  <c r="W35" i="19"/>
  <c r="T85" i="19"/>
  <c r="N185" i="19"/>
  <c r="N235" i="19"/>
  <c r="Q135" i="19"/>
  <c r="Q185" i="19"/>
  <c r="K185" i="19"/>
  <c r="Q235" i="19"/>
  <c r="K135" i="19"/>
  <c r="Q35" i="19"/>
  <c r="N85" i="19"/>
  <c r="K85" i="19"/>
  <c r="N35" i="19"/>
  <c r="K235" i="19"/>
  <c r="W139" i="19"/>
  <c r="T189" i="19"/>
  <c r="W189" i="19"/>
  <c r="T239" i="19"/>
  <c r="T39" i="19"/>
  <c r="Q239" i="19"/>
  <c r="Q89" i="19"/>
  <c r="N139" i="19"/>
  <c r="N189" i="19"/>
  <c r="W89" i="19"/>
  <c r="T139" i="19"/>
  <c r="N239" i="19"/>
  <c r="W239" i="19"/>
  <c r="W39" i="19"/>
  <c r="T89" i="19"/>
  <c r="Q139" i="19"/>
  <c r="K189" i="19"/>
  <c r="Q189" i="19"/>
  <c r="K139" i="19"/>
  <c r="K89" i="19"/>
  <c r="K39" i="19"/>
  <c r="N89" i="19"/>
  <c r="Q39" i="19"/>
  <c r="N39" i="19"/>
  <c r="K239" i="19"/>
  <c r="X242" i="19"/>
  <c r="X42" i="19"/>
  <c r="U92" i="19"/>
  <c r="X92" i="19"/>
  <c r="U142" i="19"/>
  <c r="R192" i="19"/>
  <c r="X142" i="19"/>
  <c r="U192" i="19"/>
  <c r="X192" i="19"/>
  <c r="U242" i="19"/>
  <c r="U42" i="19"/>
  <c r="R142" i="19"/>
  <c r="R42" i="19"/>
  <c r="R242" i="19"/>
  <c r="R92" i="19"/>
  <c r="O192" i="19"/>
  <c r="O242" i="19"/>
  <c r="O42" i="19"/>
  <c r="L242" i="19"/>
  <c r="O92" i="19"/>
  <c r="L192" i="19"/>
  <c r="L42" i="19"/>
  <c r="L142" i="19"/>
  <c r="O142" i="19"/>
  <c r="L92" i="19"/>
  <c r="W143" i="19"/>
  <c r="T193" i="19"/>
  <c r="W193" i="19"/>
  <c r="T243" i="19"/>
  <c r="T43" i="19"/>
  <c r="Q193" i="19"/>
  <c r="Q243" i="19"/>
  <c r="Q93" i="19"/>
  <c r="N143" i="19"/>
  <c r="W93" i="19"/>
  <c r="T143" i="19"/>
  <c r="N193" i="19"/>
  <c r="W243" i="19"/>
  <c r="W43" i="19"/>
  <c r="T93" i="19"/>
  <c r="N243" i="19"/>
  <c r="N93" i="19"/>
  <c r="K193" i="19"/>
  <c r="K43" i="19"/>
  <c r="K143" i="19"/>
  <c r="K93" i="19"/>
  <c r="Q43" i="19"/>
  <c r="Q143" i="19"/>
  <c r="N43" i="19"/>
  <c r="K243" i="19"/>
  <c r="W194" i="19"/>
  <c r="T244" i="19"/>
  <c r="T44" i="19"/>
  <c r="W244" i="19"/>
  <c r="W44" i="19"/>
  <c r="T94" i="19"/>
  <c r="Q244" i="19"/>
  <c r="W94" i="19"/>
  <c r="T144" i="19"/>
  <c r="N194" i="19"/>
  <c r="N244" i="19"/>
  <c r="Q144" i="19"/>
  <c r="Q44" i="19"/>
  <c r="N94" i="19"/>
  <c r="W144" i="19"/>
  <c r="T194" i="19"/>
  <c r="Q194" i="19"/>
  <c r="K44" i="19"/>
  <c r="K144" i="19"/>
  <c r="Q94" i="19"/>
  <c r="K94" i="19"/>
  <c r="N144" i="19"/>
  <c r="N44" i="19"/>
  <c r="K244" i="19"/>
  <c r="K194" i="19"/>
  <c r="X67" i="19"/>
  <c r="U117" i="19"/>
  <c r="X117" i="19"/>
  <c r="U167" i="19"/>
  <c r="R217" i="19"/>
  <c r="X167" i="19"/>
  <c r="U217" i="19"/>
  <c r="X217" i="19"/>
  <c r="X17" i="19"/>
  <c r="U67" i="19"/>
  <c r="R67" i="19"/>
  <c r="O117" i="19"/>
  <c r="R167" i="19"/>
  <c r="R117" i="19"/>
  <c r="O217" i="19"/>
  <c r="U17" i="19"/>
  <c r="R17" i="19"/>
  <c r="O67" i="19"/>
  <c r="L167" i="19"/>
  <c r="L117" i="19"/>
  <c r="L67" i="19"/>
  <c r="O167" i="19"/>
  <c r="O17" i="19"/>
  <c r="L217" i="19"/>
  <c r="X178" i="19"/>
  <c r="U228" i="19"/>
  <c r="U28" i="19"/>
  <c r="X228" i="19"/>
  <c r="X28" i="19"/>
  <c r="U78" i="19"/>
  <c r="R128" i="19"/>
  <c r="X78" i="19"/>
  <c r="U128" i="19"/>
  <c r="X128" i="19"/>
  <c r="U178" i="19"/>
  <c r="R178" i="19"/>
  <c r="O228" i="19"/>
  <c r="R228" i="19"/>
  <c r="R28" i="19"/>
  <c r="R78" i="19"/>
  <c r="O178" i="19"/>
  <c r="L78" i="19"/>
  <c r="O128" i="19"/>
  <c r="O28" i="19"/>
  <c r="L228" i="19"/>
  <c r="L178" i="19"/>
  <c r="O78" i="19"/>
  <c r="L128" i="19"/>
  <c r="X85" i="19"/>
  <c r="U135" i="19"/>
  <c r="X135" i="19"/>
  <c r="U185" i="19"/>
  <c r="R235" i="19"/>
  <c r="X185" i="19"/>
  <c r="U235" i="19"/>
  <c r="U35" i="19"/>
  <c r="X235" i="19"/>
  <c r="X35" i="19"/>
  <c r="U85" i="19"/>
  <c r="R85" i="19"/>
  <c r="O135" i="19"/>
  <c r="O235" i="19"/>
  <c r="R135" i="19"/>
  <c r="R185" i="19"/>
  <c r="R35" i="19"/>
  <c r="O85" i="19"/>
  <c r="O185" i="19"/>
  <c r="L185" i="19"/>
  <c r="L135" i="19"/>
  <c r="L85" i="19"/>
  <c r="O35" i="19"/>
  <c r="L235" i="19"/>
  <c r="W92" i="19"/>
  <c r="T142" i="19"/>
  <c r="W142" i="19"/>
  <c r="T192" i="19"/>
  <c r="W192" i="19"/>
  <c r="T242" i="19"/>
  <c r="T42" i="19"/>
  <c r="Q192" i="19"/>
  <c r="Q142" i="19"/>
  <c r="Q42" i="19"/>
  <c r="Q242" i="19"/>
  <c r="Q92" i="19"/>
  <c r="N142" i="19"/>
  <c r="W242" i="19"/>
  <c r="W42" i="19"/>
  <c r="T92" i="19"/>
  <c r="N192" i="19"/>
  <c r="N42" i="19"/>
  <c r="K242" i="19"/>
  <c r="K42" i="19"/>
  <c r="N242" i="19"/>
  <c r="N92" i="19"/>
  <c r="K192" i="19"/>
  <c r="K142" i="19"/>
  <c r="K92" i="19"/>
  <c r="W245" i="19"/>
  <c r="W45" i="19"/>
  <c r="T95" i="19"/>
  <c r="W95" i="19"/>
  <c r="T145" i="19"/>
  <c r="W195" i="19"/>
  <c r="T245" i="19"/>
  <c r="T45" i="19"/>
  <c r="N245" i="19"/>
  <c r="Q145" i="19"/>
  <c r="Q45" i="19"/>
  <c r="N95" i="19"/>
  <c r="Q195" i="19"/>
  <c r="W145" i="19"/>
  <c r="T195" i="19"/>
  <c r="Q95" i="19"/>
  <c r="N145" i="19"/>
  <c r="Q245" i="19"/>
  <c r="K95" i="19"/>
  <c r="N45" i="19"/>
  <c r="K245" i="19"/>
  <c r="K195" i="19"/>
  <c r="N195" i="19"/>
  <c r="K145" i="19"/>
  <c r="K45" i="19"/>
  <c r="W215" i="19"/>
  <c r="W15" i="19"/>
  <c r="T65" i="19"/>
  <c r="W65" i="19"/>
  <c r="T115" i="19"/>
  <c r="N215" i="19"/>
  <c r="W115" i="19"/>
  <c r="T165" i="19"/>
  <c r="T15" i="19"/>
  <c r="Q15" i="19"/>
  <c r="N65" i="19"/>
  <c r="Q65" i="19"/>
  <c r="N115" i="19"/>
  <c r="Q165" i="19"/>
  <c r="K65" i="19"/>
  <c r="N15" i="19"/>
  <c r="K215" i="19"/>
  <c r="W165" i="19"/>
  <c r="Q215" i="19"/>
  <c r="K165" i="19"/>
  <c r="T215" i="19"/>
  <c r="Q115" i="19"/>
  <c r="N165" i="19"/>
  <c r="K115" i="19"/>
  <c r="X216" i="19"/>
  <c r="X16" i="19"/>
  <c r="U66" i="19"/>
  <c r="X66" i="19"/>
  <c r="U116" i="19"/>
  <c r="R166" i="19"/>
  <c r="X116" i="19"/>
  <c r="U166" i="19"/>
  <c r="X166" i="19"/>
  <c r="U216" i="19"/>
  <c r="U16" i="19"/>
  <c r="R16" i="19"/>
  <c r="R66" i="19"/>
  <c r="R216" i="19"/>
  <c r="R116" i="19"/>
  <c r="O166" i="19"/>
  <c r="O216" i="19"/>
  <c r="O16" i="19"/>
  <c r="L216" i="19"/>
  <c r="L166" i="19"/>
  <c r="L116" i="19"/>
  <c r="O66" i="19"/>
  <c r="O116" i="19"/>
  <c r="L66" i="19"/>
  <c r="X169" i="19"/>
  <c r="U219" i="19"/>
  <c r="U19" i="19"/>
  <c r="X219" i="19"/>
  <c r="X19" i="19"/>
  <c r="U69" i="19"/>
  <c r="X69" i="19"/>
  <c r="U119" i="19"/>
  <c r="X119" i="19"/>
  <c r="U169" i="19"/>
  <c r="O219" i="19"/>
  <c r="R19" i="19"/>
  <c r="R69" i="19"/>
  <c r="R169" i="19"/>
  <c r="R119" i="19"/>
  <c r="O169" i="19"/>
  <c r="L69" i="19"/>
  <c r="O69" i="19"/>
  <c r="R219" i="19"/>
  <c r="O119" i="19"/>
  <c r="O19" i="19"/>
  <c r="L219" i="19"/>
  <c r="L169" i="19"/>
  <c r="L119" i="19"/>
  <c r="W172" i="19"/>
  <c r="T222" i="19"/>
  <c r="T22" i="19"/>
  <c r="W222" i="19"/>
  <c r="W22" i="19"/>
  <c r="T72" i="19"/>
  <c r="W72" i="19"/>
  <c r="T122" i="19"/>
  <c r="Q122" i="19"/>
  <c r="N172" i="19"/>
  <c r="Q172" i="19"/>
  <c r="Q222" i="19"/>
  <c r="N222" i="19"/>
  <c r="Q22" i="19"/>
  <c r="W122" i="19"/>
  <c r="T172" i="19"/>
  <c r="K122" i="19"/>
  <c r="K72" i="19"/>
  <c r="N72" i="19"/>
  <c r="N22" i="19"/>
  <c r="K222" i="19"/>
  <c r="Q72" i="19"/>
  <c r="N122" i="19"/>
  <c r="K172" i="19"/>
  <c r="W84" i="19"/>
  <c r="T134" i="19"/>
  <c r="W134" i="19"/>
  <c r="T184" i="19"/>
  <c r="W184" i="19"/>
  <c r="T234" i="19"/>
  <c r="T34" i="19"/>
  <c r="Q184" i="19"/>
  <c r="Q134" i="19"/>
  <c r="Q234" i="19"/>
  <c r="Q34" i="19"/>
  <c r="Q84" i="19"/>
  <c r="N134" i="19"/>
  <c r="W234" i="19"/>
  <c r="W34" i="19"/>
  <c r="T84" i="19"/>
  <c r="N184" i="19"/>
  <c r="N234" i="19"/>
  <c r="N34" i="19"/>
  <c r="K234" i="19"/>
  <c r="K184" i="19"/>
  <c r="K134" i="19"/>
  <c r="N84" i="19"/>
  <c r="K84" i="19"/>
  <c r="X89" i="19"/>
  <c r="U139" i="19"/>
  <c r="X139" i="19"/>
  <c r="U189" i="19"/>
  <c r="R239" i="19"/>
  <c r="X189" i="19"/>
  <c r="U239" i="19"/>
  <c r="U39" i="19"/>
  <c r="X239" i="19"/>
  <c r="X39" i="19"/>
  <c r="U89" i="19"/>
  <c r="R89" i="19"/>
  <c r="O139" i="19"/>
  <c r="O239" i="19"/>
  <c r="R139" i="19"/>
  <c r="R189" i="19"/>
  <c r="R39" i="19"/>
  <c r="O89" i="19"/>
  <c r="L189" i="19"/>
  <c r="O189" i="19"/>
  <c r="L139" i="19"/>
  <c r="L89" i="19"/>
  <c r="O39" i="19"/>
  <c r="L239" i="19"/>
  <c r="L39" i="19"/>
  <c r="X191" i="19"/>
  <c r="U241" i="19"/>
  <c r="U41" i="19"/>
  <c r="X241" i="19"/>
  <c r="X41" i="19"/>
  <c r="U91" i="19"/>
  <c r="R141" i="19"/>
  <c r="X91" i="19"/>
  <c r="U141" i="19"/>
  <c r="X141" i="19"/>
  <c r="U191" i="19"/>
  <c r="O241" i="19"/>
  <c r="R191" i="19"/>
  <c r="R41" i="19"/>
  <c r="R241" i="19"/>
  <c r="R91" i="19"/>
  <c r="O141" i="19"/>
  <c r="O191" i="19"/>
  <c r="L91" i="19"/>
  <c r="O41" i="19"/>
  <c r="L241" i="19"/>
  <c r="O91" i="19"/>
  <c r="L191" i="19"/>
  <c r="L41" i="19"/>
  <c r="L141" i="19"/>
  <c r="W70" i="19"/>
  <c r="T120" i="19"/>
  <c r="W120" i="19"/>
  <c r="T170" i="19"/>
  <c r="Q20" i="19"/>
  <c r="W170" i="19"/>
  <c r="T220" i="19"/>
  <c r="T20" i="19"/>
  <c r="Q70" i="19"/>
  <c r="N120" i="19"/>
  <c r="Q170" i="19"/>
  <c r="Q120" i="19"/>
  <c r="N170" i="19"/>
  <c r="W220" i="19"/>
  <c r="W20" i="19"/>
  <c r="T70" i="19"/>
  <c r="Q220" i="19"/>
  <c r="N70" i="19"/>
  <c r="N20" i="19"/>
  <c r="K220" i="19"/>
  <c r="K170" i="19"/>
  <c r="K120" i="19"/>
  <c r="N220" i="19"/>
  <c r="K70" i="19"/>
  <c r="X122" i="19"/>
  <c r="U172" i="19"/>
  <c r="X172" i="19"/>
  <c r="U222" i="19"/>
  <c r="U22" i="19"/>
  <c r="X222" i="19"/>
  <c r="X22" i="19"/>
  <c r="U72" i="19"/>
  <c r="X72" i="19"/>
  <c r="U122" i="19"/>
  <c r="R122" i="19"/>
  <c r="O172" i="19"/>
  <c r="R172" i="19"/>
  <c r="R222" i="19"/>
  <c r="O222" i="19"/>
  <c r="R22" i="19"/>
  <c r="R72" i="19"/>
  <c r="O122" i="19"/>
  <c r="L122" i="19"/>
  <c r="L72" i="19"/>
  <c r="O72" i="19"/>
  <c r="O22" i="19"/>
  <c r="L222" i="19"/>
  <c r="L172" i="19"/>
  <c r="W79" i="19"/>
  <c r="T129" i="19"/>
  <c r="W129" i="19"/>
  <c r="T179" i="19"/>
  <c r="W229" i="19"/>
  <c r="W29" i="19"/>
  <c r="T79" i="19"/>
  <c r="Q229" i="19"/>
  <c r="Q29" i="19"/>
  <c r="Q79" i="19"/>
  <c r="N129" i="19"/>
  <c r="W179" i="19"/>
  <c r="T229" i="19"/>
  <c r="T29" i="19"/>
  <c r="N179" i="19"/>
  <c r="N29" i="19"/>
  <c r="K229" i="19"/>
  <c r="Q179" i="19"/>
  <c r="N229" i="19"/>
  <c r="K179" i="19"/>
  <c r="N79" i="19"/>
  <c r="K129" i="19"/>
  <c r="Q129" i="19"/>
  <c r="K79" i="19"/>
  <c r="W241" i="19"/>
  <c r="W41" i="19"/>
  <c r="T91" i="19"/>
  <c r="W91" i="19"/>
  <c r="T141" i="19"/>
  <c r="N241" i="19"/>
  <c r="W191" i="19"/>
  <c r="T241" i="19"/>
  <c r="T41" i="19"/>
  <c r="Q141" i="19"/>
  <c r="Q191" i="19"/>
  <c r="Q41" i="19"/>
  <c r="N91" i="19"/>
  <c r="Q241" i="19"/>
  <c r="Q91" i="19"/>
  <c r="N141" i="19"/>
  <c r="W141" i="19"/>
  <c r="N191" i="19"/>
  <c r="K91" i="19"/>
  <c r="T191" i="19"/>
  <c r="N41" i="19"/>
  <c r="K241" i="19"/>
  <c r="K41" i="19"/>
  <c r="K191" i="19"/>
  <c r="K141" i="19"/>
  <c r="X144" i="19"/>
  <c r="U194" i="19"/>
  <c r="X194" i="19"/>
  <c r="U244" i="19"/>
  <c r="U44" i="19"/>
  <c r="X244" i="19"/>
  <c r="X44" i="19"/>
  <c r="U94" i="19"/>
  <c r="X94" i="19"/>
  <c r="U144" i="19"/>
  <c r="O194" i="19"/>
  <c r="O244" i="19"/>
  <c r="R144" i="19"/>
  <c r="R44" i="19"/>
  <c r="R194" i="19"/>
  <c r="R94" i="19"/>
  <c r="O144" i="19"/>
  <c r="O94" i="19"/>
  <c r="L144" i="19"/>
  <c r="L44" i="19"/>
  <c r="L94" i="19"/>
  <c r="O44" i="19"/>
  <c r="L244" i="19"/>
  <c r="R244" i="19"/>
  <c r="L194" i="19"/>
  <c r="W164" i="19"/>
  <c r="T214" i="19"/>
  <c r="T14" i="19"/>
  <c r="W214" i="19"/>
  <c r="W14" i="19"/>
  <c r="T64" i="19"/>
  <c r="Q164" i="19"/>
  <c r="Q214" i="19"/>
  <c r="Q114" i="19"/>
  <c r="N164" i="19"/>
  <c r="W114" i="19"/>
  <c r="T164" i="19"/>
  <c r="N214" i="19"/>
  <c r="Q14" i="19"/>
  <c r="W64" i="19"/>
  <c r="T114" i="19"/>
  <c r="N114" i="19"/>
  <c r="Q64" i="19"/>
  <c r="N64" i="19"/>
  <c r="K114" i="19"/>
  <c r="K64" i="19"/>
  <c r="N14" i="19"/>
  <c r="K214" i="19"/>
  <c r="K164" i="19"/>
  <c r="X165" i="19"/>
  <c r="U215" i="19"/>
  <c r="X215" i="19"/>
  <c r="X15" i="19"/>
  <c r="U65" i="19"/>
  <c r="X65" i="19"/>
  <c r="U115" i="19"/>
  <c r="X115" i="19"/>
  <c r="U165" i="19"/>
  <c r="O215" i="19"/>
  <c r="U15" i="19"/>
  <c r="R15" i="19"/>
  <c r="R65" i="19"/>
  <c r="R165" i="19"/>
  <c r="R215" i="19"/>
  <c r="R115" i="19"/>
  <c r="O165" i="19"/>
  <c r="L65" i="19"/>
  <c r="O15" i="19"/>
  <c r="L215" i="19"/>
  <c r="L165" i="19"/>
  <c r="L115" i="19"/>
  <c r="O115" i="19"/>
  <c r="O65" i="19"/>
  <c r="W113" i="19"/>
  <c r="T163" i="19"/>
  <c r="W163" i="19"/>
  <c r="T213" i="19"/>
  <c r="Q63" i="19"/>
  <c r="Q213" i="19"/>
  <c r="Q163" i="19"/>
  <c r="W213" i="19"/>
  <c r="W13" i="19"/>
  <c r="T63" i="19"/>
  <c r="Q113" i="19"/>
  <c r="N163" i="19"/>
  <c r="T13" i="19"/>
  <c r="N213" i="19"/>
  <c r="N113" i="19"/>
  <c r="K163" i="19"/>
  <c r="W63" i="19"/>
  <c r="N63" i="19"/>
  <c r="K113" i="19"/>
  <c r="T113" i="19"/>
  <c r="K63" i="19"/>
  <c r="Q13" i="19"/>
  <c r="N13" i="19"/>
  <c r="K213" i="19"/>
  <c r="X114" i="19"/>
  <c r="U164" i="19"/>
  <c r="X164" i="19"/>
  <c r="U214" i="19"/>
  <c r="U14" i="19"/>
  <c r="X214" i="19"/>
  <c r="X14" i="19"/>
  <c r="U64" i="19"/>
  <c r="X64" i="19"/>
  <c r="U114" i="19"/>
  <c r="R214" i="19"/>
  <c r="R114" i="19"/>
  <c r="O164" i="19"/>
  <c r="O214" i="19"/>
  <c r="R14" i="19"/>
  <c r="R64" i="19"/>
  <c r="O114" i="19"/>
  <c r="O64" i="19"/>
  <c r="L114" i="19"/>
  <c r="R164" i="19"/>
  <c r="L64" i="19"/>
  <c r="O14" i="19"/>
  <c r="L214" i="19"/>
  <c r="L164" i="19"/>
  <c r="W117" i="19"/>
  <c r="T167" i="19"/>
  <c r="W167" i="19"/>
  <c r="T217" i="19"/>
  <c r="W217" i="19"/>
  <c r="W17" i="19"/>
  <c r="T67" i="19"/>
  <c r="Q67" i="19"/>
  <c r="Q217" i="19"/>
  <c r="Q167" i="19"/>
  <c r="Q117" i="19"/>
  <c r="N167" i="19"/>
  <c r="W67" i="19"/>
  <c r="T117" i="19"/>
  <c r="N217" i="19"/>
  <c r="T17" i="19"/>
  <c r="K167" i="19"/>
  <c r="K117" i="19"/>
  <c r="N67" i="19"/>
  <c r="N117" i="19"/>
  <c r="K67" i="19"/>
  <c r="Q17" i="19"/>
  <c r="N17" i="19"/>
  <c r="K217" i="19"/>
  <c r="X220" i="19"/>
  <c r="X20" i="19"/>
  <c r="U70" i="19"/>
  <c r="X70" i="19"/>
  <c r="U120" i="19"/>
  <c r="R170" i="19"/>
  <c r="X120" i="19"/>
  <c r="U170" i="19"/>
  <c r="X170" i="19"/>
  <c r="U220" i="19"/>
  <c r="U20" i="19"/>
  <c r="R20" i="19"/>
  <c r="R70" i="19"/>
  <c r="R120" i="19"/>
  <c r="O170" i="19"/>
  <c r="R220" i="19"/>
  <c r="O220" i="19"/>
  <c r="O20" i="19"/>
  <c r="L220" i="19"/>
  <c r="O120" i="19"/>
  <c r="L170" i="19"/>
  <c r="L120" i="19"/>
  <c r="L70" i="19"/>
  <c r="O70" i="19"/>
  <c r="X234" i="19"/>
  <c r="X34" i="19"/>
  <c r="U84" i="19"/>
  <c r="X84" i="19"/>
  <c r="U134" i="19"/>
  <c r="R184" i="19"/>
  <c r="X134" i="19"/>
  <c r="U184" i="19"/>
  <c r="X184" i="19"/>
  <c r="U234" i="19"/>
  <c r="U34" i="19"/>
  <c r="R234" i="19"/>
  <c r="R34" i="19"/>
  <c r="R84" i="19"/>
  <c r="O184" i="19"/>
  <c r="O234" i="19"/>
  <c r="O34" i="19"/>
  <c r="L234" i="19"/>
  <c r="L184" i="19"/>
  <c r="R134" i="19"/>
  <c r="L134" i="19"/>
  <c r="O134" i="19"/>
  <c r="O84" i="19"/>
  <c r="L84" i="19"/>
  <c r="X93" i="19"/>
  <c r="U143" i="19"/>
  <c r="X143" i="19"/>
  <c r="U193" i="19"/>
  <c r="R243" i="19"/>
  <c r="X193" i="19"/>
  <c r="U243" i="19"/>
  <c r="U43" i="19"/>
  <c r="X243" i="19"/>
  <c r="X43" i="19"/>
  <c r="U93" i="19"/>
  <c r="R93" i="19"/>
  <c r="O143" i="19"/>
  <c r="O243" i="19"/>
  <c r="R143" i="19"/>
  <c r="R43" i="19"/>
  <c r="O93" i="19"/>
  <c r="O193" i="19"/>
  <c r="L193" i="19"/>
  <c r="R193" i="19"/>
  <c r="L143" i="19"/>
  <c r="L43" i="19"/>
  <c r="L93" i="19"/>
  <c r="O43" i="19"/>
  <c r="L243" i="19"/>
  <c r="W96" i="19"/>
  <c r="W246" i="19"/>
  <c r="W46" i="19"/>
  <c r="W196" i="19"/>
  <c r="T246" i="19"/>
  <c r="W146" i="19"/>
  <c r="T196" i="19"/>
  <c r="T146" i="19"/>
  <c r="Q196" i="19"/>
  <c r="N246" i="19"/>
  <c r="T96" i="19"/>
  <c r="Q146" i="19"/>
  <c r="N196" i="19"/>
  <c r="T46" i="19"/>
  <c r="Q96" i="19"/>
  <c r="N146" i="19"/>
  <c r="K146" i="19"/>
  <c r="N96" i="19"/>
  <c r="K196" i="19"/>
  <c r="Q46" i="19"/>
  <c r="Q246" i="19"/>
  <c r="K96" i="19"/>
  <c r="K46" i="19"/>
  <c r="N46" i="19"/>
  <c r="K246" i="19"/>
  <c r="X246" i="19"/>
  <c r="X46" i="19"/>
  <c r="X196" i="19"/>
  <c r="U246" i="19"/>
  <c r="X146" i="19"/>
  <c r="U196" i="19"/>
  <c r="X96" i="19"/>
  <c r="U96" i="19"/>
  <c r="R146" i="19"/>
  <c r="O196" i="19"/>
  <c r="U46" i="19"/>
  <c r="R96" i="19"/>
  <c r="O146" i="19"/>
  <c r="U146" i="19"/>
  <c r="R196" i="19"/>
  <c r="O246" i="19"/>
  <c r="O96" i="19"/>
  <c r="L196" i="19"/>
  <c r="O46" i="19"/>
  <c r="L246" i="19"/>
  <c r="R246" i="19"/>
  <c r="L96" i="19"/>
  <c r="L46" i="19"/>
  <c r="R46" i="19"/>
  <c r="L146" i="19"/>
  <c r="L13" i="19"/>
  <c r="K14" i="19"/>
  <c r="L15" i="19"/>
  <c r="K16" i="19"/>
  <c r="L17" i="19"/>
  <c r="K19" i="19"/>
  <c r="K20" i="19"/>
  <c r="L22" i="19"/>
  <c r="K28" i="19"/>
  <c r="K29" i="19"/>
  <c r="L29" i="19"/>
  <c r="K35" i="19"/>
  <c r="K13" i="19"/>
  <c r="L14" i="19"/>
  <c r="K15" i="19"/>
  <c r="L16" i="19"/>
  <c r="K17" i="19"/>
  <c r="L19" i="19"/>
  <c r="L20" i="19"/>
  <c r="K22" i="19"/>
  <c r="L28" i="19"/>
  <c r="K34" i="19"/>
  <c r="L34" i="19"/>
  <c r="L35" i="19"/>
  <c r="AC83" i="1"/>
  <c r="AB83" i="1"/>
  <c r="AC84" i="1"/>
  <c r="AF29" i="1"/>
  <c r="AF93" i="1"/>
  <c r="AF113" i="1"/>
  <c r="AF26" i="1"/>
  <c r="AF38" i="1"/>
  <c r="AF47" i="1"/>
  <c r="AF77" i="1"/>
  <c r="AF95" i="1"/>
  <c r="AF104" i="1"/>
  <c r="AF110" i="1"/>
  <c r="AF120" i="1"/>
  <c r="AF33" i="1"/>
  <c r="AF30" i="1"/>
  <c r="AF92" i="1"/>
  <c r="AF96" i="1"/>
  <c r="AF105" i="1"/>
  <c r="AF117" i="1"/>
  <c r="AF111" i="1"/>
  <c r="AF35" i="1"/>
  <c r="AF39" i="1"/>
  <c r="AF48" i="1"/>
  <c r="AF53" i="1"/>
  <c r="AF125" i="1"/>
  <c r="AF122" i="1"/>
  <c r="AF27" i="1"/>
  <c r="AF32" i="1"/>
  <c r="AF36" i="1"/>
  <c r="AF44" i="1"/>
  <c r="AF54" i="1"/>
  <c r="AF78" i="1"/>
  <c r="AF126" i="1"/>
  <c r="AF114" i="1"/>
  <c r="AF116" i="1"/>
  <c r="AF119" i="1"/>
  <c r="AF45" i="1"/>
  <c r="AA49" i="1"/>
  <c r="AA50" i="1" s="1"/>
  <c r="AA58" i="1"/>
  <c r="AA59" i="1" s="1"/>
  <c r="AA61" i="1"/>
  <c r="AA62" i="1" s="1"/>
  <c r="AA64" i="1"/>
  <c r="AA67" i="1"/>
  <c r="AA79" i="1"/>
  <c r="AA80" i="1" s="1"/>
  <c r="AA88" i="1"/>
  <c r="AA89" i="1" s="1"/>
  <c r="AA106" i="1"/>
  <c r="AA107" i="1" s="1"/>
  <c r="AA108" i="1" l="1"/>
  <c r="AC107" i="1"/>
  <c r="AB107" i="1"/>
  <c r="AA63" i="1"/>
  <c r="AB62" i="1"/>
  <c r="AC62" i="1"/>
  <c r="AA51" i="1"/>
  <c r="AC50" i="1"/>
  <c r="AB50" i="1"/>
  <c r="AA90" i="1"/>
  <c r="AB89" i="1"/>
  <c r="AC89" i="1"/>
  <c r="AA81" i="1"/>
  <c r="AB80" i="1"/>
  <c r="AC80" i="1"/>
  <c r="AA60" i="1"/>
  <c r="AB59" i="1"/>
  <c r="AC59" i="1"/>
  <c r="AC88" i="1"/>
  <c r="AB88" i="1"/>
  <c r="AC58" i="1"/>
  <c r="AB58" i="1"/>
  <c r="AC61" i="1"/>
  <c r="AB61" i="1"/>
  <c r="AC82" i="1"/>
  <c r="AB82" i="1"/>
  <c r="AC67" i="1"/>
  <c r="AB67" i="1"/>
  <c r="AC91" i="1"/>
  <c r="AB91" i="1"/>
  <c r="AC49" i="1"/>
  <c r="AB49" i="1"/>
  <c r="AC106" i="1"/>
  <c r="AB106" i="1"/>
  <c r="AC79" i="1"/>
  <c r="AB79" i="1"/>
  <c r="AC64" i="1"/>
  <c r="AB64" i="1"/>
  <c r="AA97" i="1"/>
  <c r="AA55" i="1"/>
  <c r="AA56" i="1" s="1"/>
  <c r="AA19" i="1"/>
  <c r="AA20" i="1" s="1"/>
  <c r="AA16" i="1"/>
  <c r="AA17" i="1" s="1"/>
  <c r="W7" i="1"/>
  <c r="K7" i="1"/>
  <c r="W130" i="19" l="1"/>
  <c r="T180" i="19"/>
  <c r="W180" i="19"/>
  <c r="T230" i="19"/>
  <c r="T30" i="19"/>
  <c r="Q80" i="19"/>
  <c r="N130" i="19"/>
  <c r="N180" i="19"/>
  <c r="W80" i="19"/>
  <c r="T130" i="19"/>
  <c r="Q130" i="19"/>
  <c r="N230" i="19"/>
  <c r="Q230" i="19"/>
  <c r="Q180" i="19"/>
  <c r="K180" i="19"/>
  <c r="W230" i="19"/>
  <c r="N80" i="19"/>
  <c r="K130" i="19"/>
  <c r="W30" i="19"/>
  <c r="K80" i="19"/>
  <c r="T80" i="19"/>
  <c r="Q30" i="19"/>
  <c r="N30" i="19"/>
  <c r="K230" i="19"/>
  <c r="W125" i="19"/>
  <c r="T175" i="19"/>
  <c r="W175" i="19"/>
  <c r="T225" i="19"/>
  <c r="T25" i="19"/>
  <c r="W75" i="19"/>
  <c r="T125" i="19"/>
  <c r="Q75" i="19"/>
  <c r="N125" i="19"/>
  <c r="W225" i="19"/>
  <c r="W25" i="19"/>
  <c r="T75" i="19"/>
  <c r="N175" i="19"/>
  <c r="Q125" i="19"/>
  <c r="Q225" i="19"/>
  <c r="Q175" i="19"/>
  <c r="N225" i="19"/>
  <c r="N75" i="19"/>
  <c r="K175" i="19"/>
  <c r="Q25" i="19"/>
  <c r="K125" i="19"/>
  <c r="K75" i="19"/>
  <c r="N25" i="19"/>
  <c r="K225" i="19"/>
  <c r="W233" i="19"/>
  <c r="W33" i="19"/>
  <c r="T83" i="19"/>
  <c r="W83" i="19"/>
  <c r="T133" i="19"/>
  <c r="W183" i="19"/>
  <c r="T233" i="19"/>
  <c r="T33" i="19"/>
  <c r="Q133" i="19"/>
  <c r="N233" i="19"/>
  <c r="Q183" i="19"/>
  <c r="Q233" i="19"/>
  <c r="Q33" i="19"/>
  <c r="N83" i="19"/>
  <c r="Q83" i="19"/>
  <c r="N133" i="19"/>
  <c r="N183" i="19"/>
  <c r="K83" i="19"/>
  <c r="N33" i="19"/>
  <c r="K233" i="19"/>
  <c r="W133" i="19"/>
  <c r="K183" i="19"/>
  <c r="T183" i="19"/>
  <c r="K133" i="19"/>
  <c r="W190" i="19"/>
  <c r="T240" i="19"/>
  <c r="T40" i="19"/>
  <c r="W240" i="19"/>
  <c r="W40" i="19"/>
  <c r="T90" i="19"/>
  <c r="W140" i="19"/>
  <c r="T190" i="19"/>
  <c r="N190" i="19"/>
  <c r="W90" i="19"/>
  <c r="T140" i="19"/>
  <c r="N240" i="19"/>
  <c r="Q140" i="19"/>
  <c r="Q190" i="19"/>
  <c r="Q40" i="19"/>
  <c r="N90" i="19"/>
  <c r="K140" i="19"/>
  <c r="K90" i="19"/>
  <c r="Q90" i="19"/>
  <c r="K40" i="19"/>
  <c r="N40" i="19"/>
  <c r="K240" i="19"/>
  <c r="Q240" i="19"/>
  <c r="N140" i="19"/>
  <c r="K190" i="19"/>
  <c r="W74" i="19"/>
  <c r="T124" i="19"/>
  <c r="W124" i="19"/>
  <c r="T174" i="19"/>
  <c r="W174" i="19"/>
  <c r="T224" i="19"/>
  <c r="T24" i="19"/>
  <c r="Q24" i="19"/>
  <c r="Q74" i="19"/>
  <c r="N124" i="19"/>
  <c r="W224" i="19"/>
  <c r="W24" i="19"/>
  <c r="T74" i="19"/>
  <c r="N174" i="19"/>
  <c r="Q174" i="19"/>
  <c r="Q124" i="19"/>
  <c r="Q224" i="19"/>
  <c r="N24" i="19"/>
  <c r="K224" i="19"/>
  <c r="N74" i="19"/>
  <c r="K174" i="19"/>
  <c r="K124" i="19"/>
  <c r="N224" i="19"/>
  <c r="K74" i="19"/>
  <c r="W121" i="19"/>
  <c r="T171" i="19"/>
  <c r="W171" i="19"/>
  <c r="T221" i="19"/>
  <c r="T21" i="19"/>
  <c r="Q71" i="19"/>
  <c r="W71" i="19"/>
  <c r="T121" i="19"/>
  <c r="Q121" i="19"/>
  <c r="N171" i="19"/>
  <c r="Q221" i="19"/>
  <c r="Q171" i="19"/>
  <c r="W221" i="19"/>
  <c r="W21" i="19"/>
  <c r="T71" i="19"/>
  <c r="N221" i="19"/>
  <c r="N121" i="19"/>
  <c r="K171" i="19"/>
  <c r="Q21" i="19"/>
  <c r="K121" i="19"/>
  <c r="K71" i="19"/>
  <c r="N71" i="19"/>
  <c r="N21" i="19"/>
  <c r="K221" i="19"/>
  <c r="T226" i="19"/>
  <c r="Q76" i="19"/>
  <c r="W126" i="19"/>
  <c r="W26" i="19"/>
  <c r="Q126" i="19"/>
  <c r="Q176" i="19"/>
  <c r="N26" i="19"/>
  <c r="N76" i="19"/>
  <c r="W176" i="19"/>
  <c r="T26" i="19"/>
  <c r="N126" i="19"/>
  <c r="W226" i="19"/>
  <c r="T76" i="19"/>
  <c r="N176" i="19"/>
  <c r="T126" i="19"/>
  <c r="N226" i="19"/>
  <c r="K226" i="19"/>
  <c r="W76" i="19"/>
  <c r="T176" i="19"/>
  <c r="Q26" i="19"/>
  <c r="K176" i="19"/>
  <c r="K126" i="19"/>
  <c r="K76" i="19"/>
  <c r="Q226" i="19"/>
  <c r="K33" i="19"/>
  <c r="K21" i="19"/>
  <c r="K25" i="19"/>
  <c r="K30" i="19"/>
  <c r="K24" i="19"/>
  <c r="K27" i="19"/>
  <c r="K26" i="19"/>
  <c r="AF89" i="1"/>
  <c r="AA18" i="1"/>
  <c r="AC17" i="1"/>
  <c r="AB17" i="1"/>
  <c r="AF80" i="1"/>
  <c r="AC90" i="1"/>
  <c r="AB90" i="1"/>
  <c r="AF50" i="1"/>
  <c r="AF62" i="1"/>
  <c r="AB108" i="1"/>
  <c r="AC108" i="1"/>
  <c r="AA21" i="1"/>
  <c r="AB20" i="1"/>
  <c r="AC20" i="1"/>
  <c r="AF59" i="1"/>
  <c r="AB81" i="1"/>
  <c r="AC81" i="1"/>
  <c r="AB63" i="1"/>
  <c r="AC63" i="1"/>
  <c r="AA57" i="1"/>
  <c r="AB56" i="1"/>
  <c r="AC56" i="1"/>
  <c r="AC60" i="1"/>
  <c r="AB60" i="1"/>
  <c r="AB51" i="1"/>
  <c r="AC51" i="1"/>
  <c r="AF107" i="1"/>
  <c r="AC19" i="1"/>
  <c r="AB19" i="1"/>
  <c r="AC55" i="1"/>
  <c r="AB55" i="1"/>
  <c r="AC16" i="1"/>
  <c r="AB16" i="1"/>
  <c r="AC97" i="1"/>
  <c r="AB97" i="1"/>
  <c r="L7" i="1"/>
  <c r="AA8" i="1" s="1"/>
  <c r="AA9" i="1" s="1"/>
  <c r="AA22" i="1"/>
  <c r="AA23" i="1" s="1"/>
  <c r="B221" i="13" a="1"/>
  <c r="X75" i="19" l="1"/>
  <c r="U125" i="19"/>
  <c r="X125" i="19"/>
  <c r="U175" i="19"/>
  <c r="R225" i="19"/>
  <c r="X175" i="19"/>
  <c r="U225" i="19"/>
  <c r="U25" i="19"/>
  <c r="X225" i="19"/>
  <c r="X25" i="19"/>
  <c r="U75" i="19"/>
  <c r="R75" i="19"/>
  <c r="O125" i="19"/>
  <c r="R125" i="19"/>
  <c r="R175" i="19"/>
  <c r="O225" i="19"/>
  <c r="R25" i="19"/>
  <c r="O75" i="19"/>
  <c r="O175" i="19"/>
  <c r="L175" i="19"/>
  <c r="L125" i="19"/>
  <c r="L75" i="19"/>
  <c r="O25" i="19"/>
  <c r="L225" i="19"/>
  <c r="X224" i="19"/>
  <c r="X24" i="19"/>
  <c r="U74" i="19"/>
  <c r="X74" i="19"/>
  <c r="U124" i="19"/>
  <c r="R174" i="19"/>
  <c r="X124" i="19"/>
  <c r="U174" i="19"/>
  <c r="X174" i="19"/>
  <c r="U224" i="19"/>
  <c r="U24" i="19"/>
  <c r="R24" i="19"/>
  <c r="R74" i="19"/>
  <c r="O174" i="19"/>
  <c r="R124" i="19"/>
  <c r="R224" i="19"/>
  <c r="O224" i="19"/>
  <c r="O24" i="19"/>
  <c r="L224" i="19"/>
  <c r="O74" i="19"/>
  <c r="L174" i="19"/>
  <c r="L124" i="19"/>
  <c r="O124" i="19"/>
  <c r="L74" i="19"/>
  <c r="X80" i="19"/>
  <c r="U130" i="19"/>
  <c r="X130" i="19"/>
  <c r="U180" i="19"/>
  <c r="R230" i="19"/>
  <c r="X180" i="19"/>
  <c r="U230" i="19"/>
  <c r="U30" i="19"/>
  <c r="X230" i="19"/>
  <c r="X30" i="19"/>
  <c r="U80" i="19"/>
  <c r="R80" i="19"/>
  <c r="O130" i="19"/>
  <c r="R130" i="19"/>
  <c r="O230" i="19"/>
  <c r="R180" i="19"/>
  <c r="R30" i="19"/>
  <c r="O80" i="19"/>
  <c r="L180" i="19"/>
  <c r="L130" i="19"/>
  <c r="O180" i="19"/>
  <c r="L80" i="19"/>
  <c r="O30" i="19"/>
  <c r="L230" i="19"/>
  <c r="X183" i="19"/>
  <c r="U233" i="19"/>
  <c r="U33" i="19"/>
  <c r="X233" i="19"/>
  <c r="X33" i="19"/>
  <c r="U83" i="19"/>
  <c r="R133" i="19"/>
  <c r="X83" i="19"/>
  <c r="U133" i="19"/>
  <c r="X133" i="19"/>
  <c r="U183" i="19"/>
  <c r="O233" i="19"/>
  <c r="R183" i="19"/>
  <c r="R233" i="19"/>
  <c r="R33" i="19"/>
  <c r="R83" i="19"/>
  <c r="O183" i="19"/>
  <c r="L83" i="19"/>
  <c r="O33" i="19"/>
  <c r="L233" i="19"/>
  <c r="L183" i="19"/>
  <c r="O133" i="19"/>
  <c r="L133" i="19"/>
  <c r="O83" i="19"/>
  <c r="W186" i="19"/>
  <c r="T236" i="19"/>
  <c r="T36" i="19"/>
  <c r="W236" i="19"/>
  <c r="W36" i="19"/>
  <c r="T86" i="19"/>
  <c r="W86" i="19"/>
  <c r="T136" i="19"/>
  <c r="N186" i="19"/>
  <c r="N236" i="19"/>
  <c r="Q136" i="19"/>
  <c r="Q186" i="19"/>
  <c r="Q36" i="19"/>
  <c r="W136" i="19"/>
  <c r="T186" i="19"/>
  <c r="Q236" i="19"/>
  <c r="Q86" i="19"/>
  <c r="K136" i="19"/>
  <c r="N86" i="19"/>
  <c r="K86" i="19"/>
  <c r="N136" i="19"/>
  <c r="N36" i="19"/>
  <c r="K236" i="19"/>
  <c r="K186" i="19"/>
  <c r="W160" i="19"/>
  <c r="T210" i="19"/>
  <c r="W210" i="19"/>
  <c r="W10" i="19"/>
  <c r="T60" i="19"/>
  <c r="W60" i="19"/>
  <c r="T110" i="19"/>
  <c r="Q210" i="19"/>
  <c r="Q110" i="19"/>
  <c r="N160" i="19"/>
  <c r="T10" i="19"/>
  <c r="N210" i="19"/>
  <c r="W110" i="19"/>
  <c r="T160" i="19"/>
  <c r="Q10" i="19"/>
  <c r="K110" i="19"/>
  <c r="Q60" i="19"/>
  <c r="Q160" i="19"/>
  <c r="K60" i="19"/>
  <c r="N110" i="19"/>
  <c r="N10" i="19"/>
  <c r="K210" i="19"/>
  <c r="N60" i="19"/>
  <c r="K160" i="19"/>
  <c r="X140" i="19"/>
  <c r="U190" i="19"/>
  <c r="X190" i="19"/>
  <c r="U240" i="19"/>
  <c r="U40" i="19"/>
  <c r="X240" i="19"/>
  <c r="X40" i="19"/>
  <c r="U90" i="19"/>
  <c r="X90" i="19"/>
  <c r="U140" i="19"/>
  <c r="O190" i="19"/>
  <c r="O240" i="19"/>
  <c r="R140" i="19"/>
  <c r="R190" i="19"/>
  <c r="R40" i="19"/>
  <c r="R240" i="19"/>
  <c r="R90" i="19"/>
  <c r="O140" i="19"/>
  <c r="L140" i="19"/>
  <c r="L90" i="19"/>
  <c r="O40" i="19"/>
  <c r="L240" i="19"/>
  <c r="O90" i="19"/>
  <c r="L40" i="19"/>
  <c r="L190" i="19"/>
  <c r="X71" i="19"/>
  <c r="U121" i="19"/>
  <c r="X121" i="19"/>
  <c r="U171" i="19"/>
  <c r="R221" i="19"/>
  <c r="X171" i="19"/>
  <c r="U221" i="19"/>
  <c r="U21" i="19"/>
  <c r="X221" i="19"/>
  <c r="X21" i="19"/>
  <c r="U71" i="19"/>
  <c r="R71" i="19"/>
  <c r="O121" i="19"/>
  <c r="R121" i="19"/>
  <c r="R171" i="19"/>
  <c r="O221" i="19"/>
  <c r="R21" i="19"/>
  <c r="O71" i="19"/>
  <c r="L171" i="19"/>
  <c r="O171" i="19"/>
  <c r="L121" i="19"/>
  <c r="L71" i="19"/>
  <c r="O21" i="19"/>
  <c r="L221" i="19"/>
  <c r="W223" i="19"/>
  <c r="W23" i="19"/>
  <c r="T73" i="19"/>
  <c r="W73" i="19"/>
  <c r="T123" i="19"/>
  <c r="Q173" i="19"/>
  <c r="W173" i="19"/>
  <c r="T223" i="19"/>
  <c r="T23" i="19"/>
  <c r="Q223" i="19"/>
  <c r="N223" i="19"/>
  <c r="Q23" i="19"/>
  <c r="N73" i="19"/>
  <c r="W123" i="19"/>
  <c r="T173" i="19"/>
  <c r="Q73" i="19"/>
  <c r="N123" i="19"/>
  <c r="N173" i="19"/>
  <c r="K73" i="19"/>
  <c r="Q123" i="19"/>
  <c r="N23" i="19"/>
  <c r="K223" i="19"/>
  <c r="K173" i="19"/>
  <c r="K123" i="19"/>
  <c r="W211" i="19"/>
  <c r="W11" i="19"/>
  <c r="T61" i="19"/>
  <c r="W61" i="19"/>
  <c r="T111" i="19"/>
  <c r="W161" i="19"/>
  <c r="T211" i="19"/>
  <c r="T11" i="19"/>
  <c r="N211" i="19"/>
  <c r="Q11" i="19"/>
  <c r="N61" i="19"/>
  <c r="W111" i="19"/>
  <c r="T161" i="19"/>
  <c r="Q161" i="19"/>
  <c r="Q61" i="19"/>
  <c r="N111" i="19"/>
  <c r="Q211" i="19"/>
  <c r="N161" i="19"/>
  <c r="K61" i="19"/>
  <c r="N11" i="19"/>
  <c r="K211" i="19"/>
  <c r="K161" i="19"/>
  <c r="Q111" i="19"/>
  <c r="K111" i="19"/>
  <c r="W237" i="19"/>
  <c r="W37" i="19"/>
  <c r="T87" i="19"/>
  <c r="W87" i="19"/>
  <c r="T137" i="19"/>
  <c r="N237" i="19"/>
  <c r="Q137" i="19"/>
  <c r="Q187" i="19"/>
  <c r="Q37" i="19"/>
  <c r="N87" i="19"/>
  <c r="W137" i="19"/>
  <c r="T187" i="19"/>
  <c r="Q237" i="19"/>
  <c r="Q87" i="19"/>
  <c r="N137" i="19"/>
  <c r="W187" i="19"/>
  <c r="T237" i="19"/>
  <c r="T37" i="19"/>
  <c r="K87" i="19"/>
  <c r="N37" i="19"/>
  <c r="K237" i="19"/>
  <c r="K187" i="19"/>
  <c r="N187" i="19"/>
  <c r="K137" i="19"/>
  <c r="U177" i="19"/>
  <c r="R27" i="19"/>
  <c r="L177" i="19"/>
  <c r="U227" i="19"/>
  <c r="R77" i="19"/>
  <c r="L127" i="19"/>
  <c r="O77" i="19"/>
  <c r="X27" i="19"/>
  <c r="R127" i="19"/>
  <c r="L77" i="19"/>
  <c r="X127" i="19"/>
  <c r="U27" i="19"/>
  <c r="X77" i="19"/>
  <c r="R177" i="19"/>
  <c r="O27" i="19"/>
  <c r="R227" i="19"/>
  <c r="X177" i="19"/>
  <c r="X227" i="19"/>
  <c r="U77" i="19"/>
  <c r="O177" i="19"/>
  <c r="O127" i="19"/>
  <c r="U127" i="19"/>
  <c r="O227" i="19"/>
  <c r="L227" i="19"/>
  <c r="L21" i="19"/>
  <c r="L25" i="19"/>
  <c r="K23" i="19"/>
  <c r="K11" i="19"/>
  <c r="L27" i="19"/>
  <c r="K36" i="19"/>
  <c r="L24" i="19"/>
  <c r="L30" i="19"/>
  <c r="K10" i="19"/>
  <c r="L33" i="19"/>
  <c r="K37" i="19"/>
  <c r="AF60" i="1"/>
  <c r="AB57" i="1"/>
  <c r="AC57" i="1"/>
  <c r="AF81" i="1"/>
  <c r="AF20" i="1"/>
  <c r="AF90" i="1"/>
  <c r="AF17" i="1"/>
  <c r="AF51" i="1"/>
  <c r="AB21" i="1"/>
  <c r="AC21" i="1"/>
  <c r="AA24" i="1"/>
  <c r="AC23" i="1"/>
  <c r="AB23" i="1"/>
  <c r="AF63" i="1"/>
  <c r="AB18" i="1"/>
  <c r="AC18" i="1"/>
  <c r="AF56" i="1"/>
  <c r="AF108" i="1"/>
  <c r="AC22" i="1"/>
  <c r="AB22" i="1"/>
  <c r="AA7" i="1"/>
  <c r="B221" i="13"/>
  <c r="X173" i="19" l="1"/>
  <c r="U223" i="19"/>
  <c r="U23" i="19"/>
  <c r="X223" i="19"/>
  <c r="X23" i="19"/>
  <c r="U73" i="19"/>
  <c r="R123" i="19"/>
  <c r="X73" i="19"/>
  <c r="U123" i="19"/>
  <c r="X123" i="19"/>
  <c r="U173" i="19"/>
  <c r="R223" i="19"/>
  <c r="O223" i="19"/>
  <c r="R23" i="19"/>
  <c r="R73" i="19"/>
  <c r="O173" i="19"/>
  <c r="L73" i="19"/>
  <c r="O23" i="19"/>
  <c r="L223" i="19"/>
  <c r="O73" i="19"/>
  <c r="L173" i="19"/>
  <c r="R173" i="19"/>
  <c r="O123" i="19"/>
  <c r="L123" i="19"/>
  <c r="X161" i="19"/>
  <c r="U211" i="19"/>
  <c r="X211" i="19"/>
  <c r="X11" i="19"/>
  <c r="U61" i="19"/>
  <c r="X61" i="19"/>
  <c r="U111" i="19"/>
  <c r="X111" i="19"/>
  <c r="U161" i="19"/>
  <c r="U11" i="19"/>
  <c r="O211" i="19"/>
  <c r="R11" i="19"/>
  <c r="R161" i="19"/>
  <c r="R61" i="19"/>
  <c r="R211" i="19"/>
  <c r="R111" i="19"/>
  <c r="O161" i="19"/>
  <c r="L61" i="19"/>
  <c r="O11" i="19"/>
  <c r="L211" i="19"/>
  <c r="O111" i="19"/>
  <c r="L161" i="19"/>
  <c r="O61" i="19"/>
  <c r="L111" i="19"/>
  <c r="X110" i="19"/>
  <c r="U160" i="19"/>
  <c r="X160" i="19"/>
  <c r="U210" i="19"/>
  <c r="U10" i="19"/>
  <c r="X210" i="19"/>
  <c r="X10" i="19"/>
  <c r="U60" i="19"/>
  <c r="X60" i="19"/>
  <c r="U110" i="19"/>
  <c r="R110" i="19"/>
  <c r="O160" i="19"/>
  <c r="O210" i="19"/>
  <c r="R10" i="19"/>
  <c r="R160" i="19"/>
  <c r="R60" i="19"/>
  <c r="O110" i="19"/>
  <c r="L110" i="19"/>
  <c r="L60" i="19"/>
  <c r="O10" i="19"/>
  <c r="L210" i="19"/>
  <c r="R210" i="19"/>
  <c r="O60" i="19"/>
  <c r="L160" i="19"/>
  <c r="W62" i="19"/>
  <c r="T112" i="19"/>
  <c r="W112" i="19"/>
  <c r="T162" i="19"/>
  <c r="W162" i="19"/>
  <c r="T212" i="19"/>
  <c r="Q12" i="19"/>
  <c r="Q162" i="19"/>
  <c r="Q62" i="19"/>
  <c r="N112" i="19"/>
  <c r="W212" i="19"/>
  <c r="W12" i="19"/>
  <c r="T62" i="19"/>
  <c r="Q212" i="19"/>
  <c r="Q112" i="19"/>
  <c r="N162" i="19"/>
  <c r="T12" i="19"/>
  <c r="N12" i="19"/>
  <c r="K212" i="19"/>
  <c r="N212" i="19"/>
  <c r="K162" i="19"/>
  <c r="N62" i="19"/>
  <c r="K112" i="19"/>
  <c r="K62" i="19"/>
  <c r="L10" i="19"/>
  <c r="L23" i="19"/>
  <c r="K12" i="19"/>
  <c r="L11" i="19"/>
  <c r="N85" i="1"/>
  <c r="O85" i="1" s="1"/>
  <c r="AF18" i="1"/>
  <c r="AB24" i="1"/>
  <c r="AC24" i="1"/>
  <c r="AF21" i="1"/>
  <c r="AF57" i="1"/>
  <c r="AF23" i="1"/>
  <c r="N133" i="1"/>
  <c r="O133" i="1" s="1"/>
  <c r="N130" i="1"/>
  <c r="O130" i="1" s="1"/>
  <c r="N127" i="1"/>
  <c r="O127" i="1" s="1"/>
  <c r="N136" i="1"/>
  <c r="O136" i="1" s="1"/>
  <c r="N94" i="1"/>
  <c r="O94" i="1" s="1"/>
  <c r="N79" i="1"/>
  <c r="O79" i="1" s="1"/>
  <c r="N64" i="1"/>
  <c r="O64" i="1" s="1"/>
  <c r="N52" i="1"/>
  <c r="O52" i="1" s="1"/>
  <c r="N31" i="1"/>
  <c r="O31" i="1" s="1"/>
  <c r="N19" i="1"/>
  <c r="O19" i="1" s="1"/>
  <c r="N10" i="1"/>
  <c r="O10" i="1" s="1"/>
  <c r="N106" i="1"/>
  <c r="O106" i="1" s="1"/>
  <c r="N16" i="1"/>
  <c r="O16" i="1" s="1"/>
  <c r="N103" i="1"/>
  <c r="O103" i="1" s="1"/>
  <c r="N91" i="1"/>
  <c r="O91" i="1" s="1"/>
  <c r="N76" i="1"/>
  <c r="O76" i="1" s="1"/>
  <c r="N61" i="1"/>
  <c r="O61" i="1" s="1"/>
  <c r="N49" i="1"/>
  <c r="O49" i="1" s="1"/>
  <c r="N40" i="1"/>
  <c r="O40" i="1" s="1"/>
  <c r="N28" i="1"/>
  <c r="O28" i="1" s="1"/>
  <c r="N121" i="1"/>
  <c r="O121" i="1" s="1"/>
  <c r="N118" i="1"/>
  <c r="O118" i="1" s="1"/>
  <c r="N115" i="1"/>
  <c r="O115" i="1" s="1"/>
  <c r="N112" i="1"/>
  <c r="O112" i="1" s="1"/>
  <c r="N109" i="1"/>
  <c r="O109" i="1" s="1"/>
  <c r="N88" i="1"/>
  <c r="O88" i="1" s="1"/>
  <c r="N73" i="1"/>
  <c r="O73" i="1" s="1"/>
  <c r="N58" i="1"/>
  <c r="O58" i="1" s="1"/>
  <c r="N46" i="1"/>
  <c r="O46" i="1" s="1"/>
  <c r="N37" i="1"/>
  <c r="O37" i="1" s="1"/>
  <c r="N25" i="1"/>
  <c r="O25" i="1" s="1"/>
  <c r="N55" i="1"/>
  <c r="O55" i="1" s="1"/>
  <c r="N97" i="1"/>
  <c r="O97" i="1" s="1"/>
  <c r="N34" i="1"/>
  <c r="O34" i="1" s="1"/>
  <c r="N67" i="1"/>
  <c r="O67" i="1" s="1"/>
  <c r="N124" i="1"/>
  <c r="O124" i="1" s="1"/>
  <c r="N13" i="1"/>
  <c r="O13" i="1" s="1"/>
  <c r="N43" i="1"/>
  <c r="O43" i="1" s="1"/>
  <c r="N82" i="1"/>
  <c r="O82" i="1" s="1"/>
  <c r="N22" i="1"/>
  <c r="O22" i="1" s="1"/>
  <c r="AB9" i="1"/>
  <c r="AC9" i="1"/>
  <c r="AC8" i="1"/>
  <c r="AB8" i="1"/>
  <c r="H210" i="13"/>
  <c r="X212" i="19" l="1"/>
  <c r="X12" i="19"/>
  <c r="U62" i="19"/>
  <c r="X62" i="19"/>
  <c r="U112" i="19"/>
  <c r="R162" i="19"/>
  <c r="X112" i="19"/>
  <c r="U162" i="19"/>
  <c r="X162" i="19"/>
  <c r="U212" i="19"/>
  <c r="R12" i="19"/>
  <c r="R62" i="19"/>
  <c r="R212" i="19"/>
  <c r="R112" i="19"/>
  <c r="O162" i="19"/>
  <c r="U12" i="19"/>
  <c r="O212" i="19"/>
  <c r="O12" i="19"/>
  <c r="L212" i="19"/>
  <c r="O112" i="19"/>
  <c r="L162" i="19"/>
  <c r="O62" i="19"/>
  <c r="L112" i="19"/>
  <c r="L62" i="19"/>
  <c r="AZ28" i="18"/>
  <c r="AF68" i="18"/>
  <c r="AZ68" i="18"/>
  <c r="AP8" i="18"/>
  <c r="AZ8" i="18"/>
  <c r="AF48" i="18"/>
  <c r="AZ88" i="18"/>
  <c r="V28" i="18"/>
  <c r="AP48" i="18"/>
  <c r="V8" i="18"/>
  <c r="AF28" i="18"/>
  <c r="L68" i="18"/>
  <c r="AP28" i="18"/>
  <c r="V88" i="18"/>
  <c r="V68" i="18"/>
  <c r="V48" i="18"/>
  <c r="AZ48" i="18"/>
  <c r="AF88" i="18"/>
  <c r="L88" i="18"/>
  <c r="L48" i="18"/>
  <c r="AF8" i="18"/>
  <c r="AP88" i="18"/>
  <c r="L28" i="18"/>
  <c r="AP68" i="18"/>
  <c r="BD46" i="18"/>
  <c r="AJ86" i="18"/>
  <c r="BD86" i="18"/>
  <c r="AT26" i="18"/>
  <c r="BD26" i="18"/>
  <c r="AJ66" i="18"/>
  <c r="AT86" i="18"/>
  <c r="Z46" i="18"/>
  <c r="AT66" i="18"/>
  <c r="AT6" i="18"/>
  <c r="AJ6" i="18"/>
  <c r="Z26" i="18"/>
  <c r="AT46" i="18"/>
  <c r="AJ26" i="18"/>
  <c r="P26" i="18"/>
  <c r="BD66" i="18"/>
  <c r="P66" i="18"/>
  <c r="Z86" i="18"/>
  <c r="Z66" i="18"/>
  <c r="AJ46" i="18"/>
  <c r="Z6" i="18"/>
  <c r="P86" i="18"/>
  <c r="BD6" i="18"/>
  <c r="P46" i="18"/>
  <c r="AP94" i="18"/>
  <c r="AF34" i="18"/>
  <c r="AZ34" i="18"/>
  <c r="AP74" i="18"/>
  <c r="AF14" i="18"/>
  <c r="AP14" i="18"/>
  <c r="L94" i="18"/>
  <c r="AZ14" i="18"/>
  <c r="AP54" i="18"/>
  <c r="L74" i="18"/>
  <c r="AF74" i="18"/>
  <c r="V94" i="18"/>
  <c r="V54" i="18"/>
  <c r="V34" i="18"/>
  <c r="V14" i="18"/>
  <c r="L34" i="18"/>
  <c r="AP34" i="18"/>
  <c r="AF94" i="18"/>
  <c r="AF54" i="18"/>
  <c r="AZ94" i="18"/>
  <c r="AZ74" i="18"/>
  <c r="L54" i="18"/>
  <c r="AZ54" i="18"/>
  <c r="V74" i="18"/>
  <c r="BF100" i="18"/>
  <c r="AV40" i="18"/>
  <c r="AV80" i="18"/>
  <c r="BF80" i="18"/>
  <c r="AV20" i="18"/>
  <c r="AV60" i="18"/>
  <c r="AL40" i="18"/>
  <c r="AL20" i="18"/>
  <c r="BF60" i="18"/>
  <c r="AV100" i="18"/>
  <c r="AB100" i="18"/>
  <c r="AB80" i="18"/>
  <c r="BF40" i="18"/>
  <c r="BF20" i="18"/>
  <c r="AL80" i="18"/>
  <c r="R20" i="18"/>
  <c r="AB60" i="18"/>
  <c r="AB40" i="18"/>
  <c r="AB20" i="18"/>
  <c r="R100" i="18"/>
  <c r="R60" i="18"/>
  <c r="AL60" i="18"/>
  <c r="R80" i="18"/>
  <c r="AL100" i="18"/>
  <c r="R40" i="18"/>
  <c r="AV86" i="18"/>
  <c r="AL26" i="18"/>
  <c r="BF26" i="18"/>
  <c r="AV66" i="18"/>
  <c r="AL6" i="18"/>
  <c r="AV26" i="18"/>
  <c r="AL86" i="18"/>
  <c r="AL66" i="18"/>
  <c r="AL46" i="18"/>
  <c r="R86" i="18"/>
  <c r="AV6" i="18"/>
  <c r="BF66" i="18"/>
  <c r="AV46" i="18"/>
  <c r="R26" i="18"/>
  <c r="R66" i="18"/>
  <c r="BF86" i="18"/>
  <c r="AB86" i="18"/>
  <c r="AB66" i="18"/>
  <c r="AB46" i="18"/>
  <c r="AB26" i="18"/>
  <c r="AB6" i="18"/>
  <c r="BF46" i="18"/>
  <c r="BF6" i="18"/>
  <c r="R46" i="18"/>
  <c r="AV96" i="18"/>
  <c r="AL36" i="18"/>
  <c r="BF36" i="18"/>
  <c r="AV76" i="18"/>
  <c r="AL16" i="18"/>
  <c r="BF56" i="18"/>
  <c r="R96" i="18"/>
  <c r="BF96" i="18"/>
  <c r="AV16" i="18"/>
  <c r="AB96" i="18"/>
  <c r="R76" i="18"/>
  <c r="AV36" i="18"/>
  <c r="R36" i="18"/>
  <c r="BF76" i="18"/>
  <c r="AL56" i="18"/>
  <c r="AB76" i="18"/>
  <c r="AL96" i="18"/>
  <c r="AB56" i="18"/>
  <c r="AB36" i="18"/>
  <c r="AB16" i="18"/>
  <c r="BF16" i="18"/>
  <c r="AL76" i="18"/>
  <c r="R56" i="18"/>
  <c r="AV56" i="18"/>
  <c r="AZ38" i="18"/>
  <c r="AF78" i="18"/>
  <c r="AZ78" i="18"/>
  <c r="AP18" i="18"/>
  <c r="AZ18" i="18"/>
  <c r="AF58" i="18"/>
  <c r="AP38" i="18"/>
  <c r="V38" i="18"/>
  <c r="AP78" i="18"/>
  <c r="V18" i="18"/>
  <c r="AF98" i="18"/>
  <c r="AF18" i="18"/>
  <c r="V78" i="18"/>
  <c r="V58" i="18"/>
  <c r="AZ98" i="18"/>
  <c r="V98" i="18"/>
  <c r="L98" i="18"/>
  <c r="AZ58" i="18"/>
  <c r="L78" i="18"/>
  <c r="L58" i="18"/>
  <c r="AF38" i="18"/>
  <c r="AP98" i="18"/>
  <c r="AP58" i="18"/>
  <c r="L38" i="18"/>
  <c r="BD90" i="18"/>
  <c r="AT30" i="18"/>
  <c r="AT70" i="18"/>
  <c r="BD70" i="18"/>
  <c r="AT10" i="18"/>
  <c r="Z90" i="18"/>
  <c r="AT90" i="18"/>
  <c r="AJ30" i="18"/>
  <c r="AJ10" i="18"/>
  <c r="Z70" i="18"/>
  <c r="AJ90" i="18"/>
  <c r="AJ50" i="18"/>
  <c r="BD50" i="18"/>
  <c r="BD30" i="18"/>
  <c r="BD10" i="18"/>
  <c r="P70" i="18"/>
  <c r="AJ70" i="18"/>
  <c r="P50" i="18"/>
  <c r="AT50" i="18"/>
  <c r="Z50" i="18"/>
  <c r="Z30" i="18"/>
  <c r="Z10" i="18"/>
  <c r="P90" i="18"/>
  <c r="P30" i="18"/>
  <c r="AT52" i="18"/>
  <c r="AT92" i="18"/>
  <c r="BD92" i="18"/>
  <c r="AT32" i="18"/>
  <c r="BD32" i="18"/>
  <c r="AT12" i="18"/>
  <c r="BD72" i="18"/>
  <c r="BD12" i="18"/>
  <c r="AJ72" i="18"/>
  <c r="Z92" i="18"/>
  <c r="Z72" i="18"/>
  <c r="Z52" i="18"/>
  <c r="Z32" i="18"/>
  <c r="AT72" i="18"/>
  <c r="AJ32" i="18"/>
  <c r="Z12" i="18"/>
  <c r="P92" i="18"/>
  <c r="P32" i="18"/>
  <c r="AJ92" i="18"/>
  <c r="P72" i="18"/>
  <c r="AJ52" i="18"/>
  <c r="AJ12" i="18"/>
  <c r="BD52" i="18"/>
  <c r="P52" i="18"/>
  <c r="BB94" i="18"/>
  <c r="AR34" i="18"/>
  <c r="AR74" i="18"/>
  <c r="BB74" i="18"/>
  <c r="AR14" i="18"/>
  <c r="AR54" i="18"/>
  <c r="AH94" i="18"/>
  <c r="AH74" i="18"/>
  <c r="AH54" i="18"/>
  <c r="X74" i="18"/>
  <c r="AR94" i="18"/>
  <c r="AH34" i="18"/>
  <c r="N94" i="18"/>
  <c r="N74" i="18"/>
  <c r="AH14" i="18"/>
  <c r="N54" i="18"/>
  <c r="BB54" i="18"/>
  <c r="N34" i="18"/>
  <c r="BB34" i="18"/>
  <c r="X34" i="18"/>
  <c r="BB14" i="18"/>
  <c r="X94" i="18"/>
  <c r="X54" i="18"/>
  <c r="X14" i="18"/>
  <c r="BD68" i="18"/>
  <c r="AT8" i="18"/>
  <c r="AT48" i="18"/>
  <c r="BD48" i="18"/>
  <c r="AJ88" i="18"/>
  <c r="AT68" i="18"/>
  <c r="Z68" i="18"/>
  <c r="BD8" i="18"/>
  <c r="Z48" i="18"/>
  <c r="Z88" i="18"/>
  <c r="BD88" i="18"/>
  <c r="Z28" i="18"/>
  <c r="Z8" i="18"/>
  <c r="P88" i="18"/>
  <c r="P48" i="18"/>
  <c r="AJ48" i="18"/>
  <c r="BD28" i="18"/>
  <c r="AT88" i="18"/>
  <c r="AJ8" i="18"/>
  <c r="P28" i="18"/>
  <c r="AJ68" i="18"/>
  <c r="AJ28" i="18"/>
  <c r="P68" i="18"/>
  <c r="AT28" i="18"/>
  <c r="BF78" i="18"/>
  <c r="AV18" i="18"/>
  <c r="AV58" i="18"/>
  <c r="BF58" i="18"/>
  <c r="AL98" i="18"/>
  <c r="BF38" i="18"/>
  <c r="AB98" i="18"/>
  <c r="AB78" i="18"/>
  <c r="BF18" i="18"/>
  <c r="AL78" i="18"/>
  <c r="AL58" i="18"/>
  <c r="AL38" i="18"/>
  <c r="AB58" i="18"/>
  <c r="BF98" i="18"/>
  <c r="R78" i="18"/>
  <c r="R58" i="18"/>
  <c r="AV98" i="18"/>
  <c r="R38" i="18"/>
  <c r="AV78" i="18"/>
  <c r="AV38" i="18"/>
  <c r="AB38" i="18"/>
  <c r="R98" i="18"/>
  <c r="AL18" i="18"/>
  <c r="AB18" i="18"/>
  <c r="R18" i="18"/>
  <c r="AV62" i="18"/>
  <c r="AV102" i="18"/>
  <c r="BF102" i="18"/>
  <c r="AV42" i="18"/>
  <c r="AV82" i="18"/>
  <c r="AV22" i="18"/>
  <c r="AL82" i="18"/>
  <c r="AB22" i="18"/>
  <c r="R102" i="18"/>
  <c r="R82" i="18"/>
  <c r="AL62" i="18"/>
  <c r="AL22" i="18"/>
  <c r="AB102" i="18"/>
  <c r="R42" i="18"/>
  <c r="BF82" i="18"/>
  <c r="AL102" i="18"/>
  <c r="R22" i="18"/>
  <c r="BF62" i="18"/>
  <c r="BF42" i="18"/>
  <c r="AL42" i="18"/>
  <c r="AB82" i="18"/>
  <c r="AB42" i="18"/>
  <c r="R62" i="18"/>
  <c r="BF22" i="18"/>
  <c r="AB62" i="18"/>
  <c r="AR68" i="18"/>
  <c r="BB8" i="18"/>
  <c r="AR48" i="18"/>
  <c r="BB28" i="18"/>
  <c r="AH8" i="18"/>
  <c r="BB68" i="18"/>
  <c r="AR28" i="18"/>
  <c r="AR8" i="18"/>
  <c r="X88" i="18"/>
  <c r="X68" i="18"/>
  <c r="X48" i="18"/>
  <c r="BB88" i="18"/>
  <c r="BB48" i="18"/>
  <c r="AH88" i="18"/>
  <c r="X28" i="18"/>
  <c r="X8" i="18"/>
  <c r="N88" i="18"/>
  <c r="N48" i="18"/>
  <c r="AH48" i="18"/>
  <c r="AR88" i="18"/>
  <c r="N28" i="18"/>
  <c r="N68" i="18"/>
  <c r="AH28" i="18"/>
  <c r="AH68" i="18"/>
  <c r="AN50" i="18"/>
  <c r="AN90" i="18"/>
  <c r="AX90" i="18"/>
  <c r="AN30" i="18"/>
  <c r="AX70" i="18"/>
  <c r="AX50" i="18"/>
  <c r="AD90" i="18"/>
  <c r="AD70" i="18"/>
  <c r="T90" i="18"/>
  <c r="AN10" i="18"/>
  <c r="T10" i="18"/>
  <c r="J90" i="18"/>
  <c r="AD50" i="18"/>
  <c r="AX30" i="18"/>
  <c r="AD10" i="18"/>
  <c r="J30" i="18"/>
  <c r="AX10" i="18"/>
  <c r="J70" i="18"/>
  <c r="AN70" i="18"/>
  <c r="AD30" i="18"/>
  <c r="T50" i="18"/>
  <c r="T70" i="18"/>
  <c r="T30" i="18"/>
  <c r="J50" i="18"/>
  <c r="AX98" i="18"/>
  <c r="AN38" i="18"/>
  <c r="AN78" i="18"/>
  <c r="AX78" i="18"/>
  <c r="AN18" i="18"/>
  <c r="AN98" i="18"/>
  <c r="AX38" i="18"/>
  <c r="T78" i="18"/>
  <c r="AD58" i="18"/>
  <c r="AD98" i="18"/>
  <c r="AD18" i="18"/>
  <c r="T58" i="18"/>
  <c r="T38" i="18"/>
  <c r="T18" i="18"/>
  <c r="T98" i="18"/>
  <c r="J98" i="18"/>
  <c r="AX58" i="18"/>
  <c r="AX18" i="18"/>
  <c r="AD78" i="18"/>
  <c r="J78" i="18"/>
  <c r="J58" i="18"/>
  <c r="AD38" i="18"/>
  <c r="AN58" i="18"/>
  <c r="J38" i="18"/>
  <c r="AR56" i="18"/>
  <c r="AR96" i="18"/>
  <c r="BB96" i="18"/>
  <c r="AR36" i="18"/>
  <c r="AH96" i="18"/>
  <c r="AH56" i="18"/>
  <c r="AH36" i="18"/>
  <c r="AH16" i="18"/>
  <c r="BB36" i="18"/>
  <c r="AR16" i="18"/>
  <c r="N36" i="18"/>
  <c r="BB76" i="18"/>
  <c r="X76" i="18"/>
  <c r="X56" i="18"/>
  <c r="X36" i="18"/>
  <c r="BB56" i="18"/>
  <c r="X96" i="18"/>
  <c r="X16" i="18"/>
  <c r="N96" i="18"/>
  <c r="BB16" i="18"/>
  <c r="AR76" i="18"/>
  <c r="AH76" i="18"/>
  <c r="N76" i="18"/>
  <c r="N56" i="18"/>
  <c r="AR90" i="18"/>
  <c r="AH30" i="18"/>
  <c r="BB30" i="18"/>
  <c r="AR70" i="18"/>
  <c r="AH10" i="18"/>
  <c r="AR50" i="18"/>
  <c r="N90" i="18"/>
  <c r="BB50" i="18"/>
  <c r="AH90" i="18"/>
  <c r="AH70" i="18"/>
  <c r="AH50" i="18"/>
  <c r="AR30" i="18"/>
  <c r="N70" i="18"/>
  <c r="BB70" i="18"/>
  <c r="N30" i="18"/>
  <c r="BB10" i="18"/>
  <c r="X90" i="18"/>
  <c r="X70" i="18"/>
  <c r="N50" i="18"/>
  <c r="AR10" i="18"/>
  <c r="X50" i="18"/>
  <c r="X30" i="18"/>
  <c r="X10" i="18"/>
  <c r="BB90" i="18"/>
  <c r="AZ6" i="18"/>
  <c r="AF46" i="18"/>
  <c r="AZ46" i="18"/>
  <c r="AP86" i="18"/>
  <c r="AF26" i="18"/>
  <c r="V6" i="18"/>
  <c r="AZ86" i="18"/>
  <c r="AF86" i="18"/>
  <c r="AF66" i="18"/>
  <c r="AZ26" i="18"/>
  <c r="L86" i="18"/>
  <c r="AP66" i="18"/>
  <c r="AF6" i="18"/>
  <c r="L46" i="18"/>
  <c r="AP46" i="18"/>
  <c r="AP26" i="18"/>
  <c r="AP6" i="18"/>
  <c r="L26" i="18"/>
  <c r="AZ66" i="18"/>
  <c r="V86" i="18"/>
  <c r="L66" i="18"/>
  <c r="V66" i="18"/>
  <c r="V46" i="18"/>
  <c r="V26" i="18"/>
  <c r="AP82" i="18"/>
  <c r="AF22" i="18"/>
  <c r="AZ22" i="18"/>
  <c r="AP62" i="18"/>
  <c r="V102" i="18"/>
  <c r="AZ62" i="18"/>
  <c r="AP42" i="18"/>
  <c r="AZ102" i="18"/>
  <c r="AF82" i="18"/>
  <c r="AF42" i="18"/>
  <c r="L22" i="18"/>
  <c r="AP102" i="18"/>
  <c r="V82" i="18"/>
  <c r="V62" i="18"/>
  <c r="V42" i="18"/>
  <c r="V22" i="18"/>
  <c r="L102" i="18"/>
  <c r="L62" i="18"/>
  <c r="L82" i="18"/>
  <c r="AP22" i="18"/>
  <c r="AF62" i="18"/>
  <c r="AF102" i="18"/>
  <c r="L42" i="18"/>
  <c r="AZ82" i="18"/>
  <c r="AZ42" i="18"/>
  <c r="BB12" i="18"/>
  <c r="AH52" i="18"/>
  <c r="BB52" i="18"/>
  <c r="AR92" i="18"/>
  <c r="AH32" i="18"/>
  <c r="BB92" i="18"/>
  <c r="X12" i="18"/>
  <c r="AR72" i="18"/>
  <c r="AR12" i="18"/>
  <c r="N92" i="18"/>
  <c r="BB32" i="18"/>
  <c r="N52" i="18"/>
  <c r="AH72" i="18"/>
  <c r="X92" i="18"/>
  <c r="X72" i="18"/>
  <c r="X52" i="18"/>
  <c r="X32" i="18"/>
  <c r="AR52" i="18"/>
  <c r="N32" i="18"/>
  <c r="AR32" i="18"/>
  <c r="BB72" i="18"/>
  <c r="AH92" i="18"/>
  <c r="N72" i="18"/>
  <c r="AH12" i="18"/>
  <c r="AN72" i="18"/>
  <c r="AX12" i="18"/>
  <c r="AN52" i="18"/>
  <c r="T92" i="18"/>
  <c r="AN92" i="18"/>
  <c r="AD72" i="18"/>
  <c r="AD52" i="18"/>
  <c r="AD32" i="18"/>
  <c r="AX92" i="18"/>
  <c r="AX32" i="18"/>
  <c r="AX52" i="18"/>
  <c r="AD12" i="18"/>
  <c r="J72" i="18"/>
  <c r="J52" i="18"/>
  <c r="T72" i="18"/>
  <c r="T52" i="18"/>
  <c r="T32" i="18"/>
  <c r="T12" i="18"/>
  <c r="J92" i="18"/>
  <c r="AN32" i="18"/>
  <c r="AN12" i="18"/>
  <c r="J32" i="18"/>
  <c r="AD92" i="18"/>
  <c r="AX72" i="18"/>
  <c r="AX88" i="18"/>
  <c r="AN28" i="18"/>
  <c r="AN68" i="18"/>
  <c r="AX68" i="18"/>
  <c r="AN8" i="18"/>
  <c r="AD28" i="18"/>
  <c r="T88" i="18"/>
  <c r="AX8" i="18"/>
  <c r="T68" i="18"/>
  <c r="AD68" i="18"/>
  <c r="J68" i="18"/>
  <c r="T48" i="18"/>
  <c r="T28" i="18"/>
  <c r="T8" i="18"/>
  <c r="AX48" i="18"/>
  <c r="AD88" i="18"/>
  <c r="AD48" i="18"/>
  <c r="J88" i="18"/>
  <c r="J48" i="18"/>
  <c r="AX28" i="18"/>
  <c r="AD8" i="18"/>
  <c r="AN88" i="18"/>
  <c r="AN48" i="18"/>
  <c r="J28" i="18"/>
  <c r="BB82" i="18"/>
  <c r="AR22" i="18"/>
  <c r="AR62" i="18"/>
  <c r="BB62" i="18"/>
  <c r="AH102" i="18"/>
  <c r="AR102" i="18"/>
  <c r="X82" i="18"/>
  <c r="BB102" i="18"/>
  <c r="BB42" i="18"/>
  <c r="X62" i="18"/>
  <c r="BB22" i="18"/>
  <c r="AR82" i="18"/>
  <c r="X42" i="18"/>
  <c r="X22" i="18"/>
  <c r="N102" i="18"/>
  <c r="N62" i="18"/>
  <c r="N82" i="18"/>
  <c r="AR42" i="18"/>
  <c r="AH62" i="18"/>
  <c r="X102" i="18"/>
  <c r="AH22" i="18"/>
  <c r="N42" i="18"/>
  <c r="AH42" i="18"/>
  <c r="AH82" i="18"/>
  <c r="N22" i="18"/>
  <c r="AZ16" i="18"/>
  <c r="AF56" i="18"/>
  <c r="AZ56" i="18"/>
  <c r="AF96" i="18"/>
  <c r="AP96" i="18"/>
  <c r="AF36" i="18"/>
  <c r="AP56" i="18"/>
  <c r="AF76" i="18"/>
  <c r="V16" i="18"/>
  <c r="AP36" i="18"/>
  <c r="AZ96" i="18"/>
  <c r="L96" i="18"/>
  <c r="L56" i="18"/>
  <c r="AP16" i="18"/>
  <c r="AF16" i="18"/>
  <c r="L36" i="18"/>
  <c r="AZ76" i="18"/>
  <c r="AZ36" i="18"/>
  <c r="V76" i="18"/>
  <c r="V56" i="18"/>
  <c r="V36" i="18"/>
  <c r="V96" i="18"/>
  <c r="AP76" i="18"/>
  <c r="L76" i="18"/>
  <c r="AX20" i="18"/>
  <c r="AD60" i="18"/>
  <c r="AX60" i="18"/>
  <c r="AD100" i="18"/>
  <c r="AN100" i="18"/>
  <c r="AD40" i="18"/>
  <c r="AN80" i="18"/>
  <c r="T20" i="18"/>
  <c r="AX80" i="18"/>
  <c r="AD80" i="18"/>
  <c r="AN60" i="18"/>
  <c r="AD20" i="18"/>
  <c r="J100" i="18"/>
  <c r="T100" i="18"/>
  <c r="J80" i="18"/>
  <c r="J60" i="18"/>
  <c r="AX40" i="18"/>
  <c r="J40" i="18"/>
  <c r="AN40" i="18"/>
  <c r="T80" i="18"/>
  <c r="T60" i="18"/>
  <c r="T40" i="18"/>
  <c r="J20" i="18"/>
  <c r="AX100" i="18"/>
  <c r="AN20" i="18"/>
  <c r="BF52" i="18"/>
  <c r="AL92" i="18"/>
  <c r="BF92" i="18"/>
  <c r="AV32" i="18"/>
  <c r="BF32" i="18"/>
  <c r="AL72" i="18"/>
  <c r="AV72" i="18"/>
  <c r="AB52" i="18"/>
  <c r="BF72" i="18"/>
  <c r="BF12" i="18"/>
  <c r="AB92" i="18"/>
  <c r="AB32" i="18"/>
  <c r="AB72" i="18"/>
  <c r="AV92" i="18"/>
  <c r="AL32" i="18"/>
  <c r="AB12" i="18"/>
  <c r="R92" i="18"/>
  <c r="R32" i="18"/>
  <c r="AV52" i="18"/>
  <c r="AV12" i="18"/>
  <c r="R72" i="18"/>
  <c r="AL52" i="18"/>
  <c r="AL12" i="18"/>
  <c r="R52" i="18"/>
  <c r="BF8" i="18"/>
  <c r="AL48" i="18"/>
  <c r="BF48" i="18"/>
  <c r="AV88" i="18"/>
  <c r="AL28" i="18"/>
  <c r="AV8" i="18"/>
  <c r="AB8" i="18"/>
  <c r="AV48" i="18"/>
  <c r="R88" i="18"/>
  <c r="BF88" i="18"/>
  <c r="AB68" i="18"/>
  <c r="AB48" i="18"/>
  <c r="AB28" i="18"/>
  <c r="R48" i="18"/>
  <c r="AL88" i="18"/>
  <c r="BF68" i="18"/>
  <c r="BF28" i="18"/>
  <c r="AL8" i="18"/>
  <c r="R28" i="18"/>
  <c r="AL68" i="18"/>
  <c r="R68" i="18"/>
  <c r="AV68" i="18"/>
  <c r="AV28" i="18"/>
  <c r="AB88" i="18"/>
  <c r="BD22" i="18"/>
  <c r="AJ62" i="18"/>
  <c r="BD62" i="18"/>
  <c r="AJ102" i="18"/>
  <c r="AT102" i="18"/>
  <c r="AJ42" i="18"/>
  <c r="AT42" i="18"/>
  <c r="Z102" i="18"/>
  <c r="Z22" i="18"/>
  <c r="BD42" i="18"/>
  <c r="AT82" i="18"/>
  <c r="P102" i="18"/>
  <c r="Z82" i="18"/>
  <c r="Z62" i="18"/>
  <c r="Z42" i="18"/>
  <c r="P62" i="18"/>
  <c r="P82" i="18"/>
  <c r="AT62" i="18"/>
  <c r="AT22" i="18"/>
  <c r="AJ22" i="18"/>
  <c r="P42" i="18"/>
  <c r="BD102" i="18"/>
  <c r="BD82" i="18"/>
  <c r="AJ82" i="18"/>
  <c r="P22" i="18"/>
  <c r="AP60" i="18"/>
  <c r="AP100" i="18"/>
  <c r="AZ100" i="18"/>
  <c r="AP40" i="18"/>
  <c r="AP20" i="18"/>
  <c r="AZ20" i="18"/>
  <c r="AF60" i="18"/>
  <c r="AF40" i="18"/>
  <c r="AF20" i="18"/>
  <c r="AF100" i="18"/>
  <c r="AZ80" i="18"/>
  <c r="AZ60" i="18"/>
  <c r="AZ40" i="18"/>
  <c r="AF80" i="18"/>
  <c r="L40" i="18"/>
  <c r="AP80" i="18"/>
  <c r="V80" i="18"/>
  <c r="V60" i="18"/>
  <c r="V40" i="18"/>
  <c r="L20" i="18"/>
  <c r="V20" i="18"/>
  <c r="L100" i="18"/>
  <c r="L60" i="18"/>
  <c r="V100" i="18"/>
  <c r="L80" i="18"/>
  <c r="BD34" i="18"/>
  <c r="AJ74" i="18"/>
  <c r="BD74" i="18"/>
  <c r="AT14" i="18"/>
  <c r="BD14" i="18"/>
  <c r="AJ54" i="18"/>
  <c r="Z94" i="18"/>
  <c r="Z34" i="18"/>
  <c r="AJ94" i="18"/>
  <c r="BD54" i="18"/>
  <c r="AJ34" i="18"/>
  <c r="AJ14" i="18"/>
  <c r="Z14" i="18"/>
  <c r="AT74" i="18"/>
  <c r="AT54" i="18"/>
  <c r="AT34" i="18"/>
  <c r="P74" i="18"/>
  <c r="P54" i="18"/>
  <c r="BD94" i="18"/>
  <c r="Z74" i="18"/>
  <c r="Z54" i="18"/>
  <c r="P34" i="18"/>
  <c r="P94" i="18"/>
  <c r="AT94" i="18"/>
  <c r="AZ72" i="18"/>
  <c r="AP12" i="18"/>
  <c r="AP52" i="18"/>
  <c r="AZ52" i="18"/>
  <c r="AF92" i="18"/>
  <c r="AP32" i="18"/>
  <c r="AF12" i="18"/>
  <c r="V72" i="18"/>
  <c r="AZ32" i="18"/>
  <c r="AP72" i="18"/>
  <c r="V52" i="18"/>
  <c r="AZ12" i="18"/>
  <c r="L52" i="18"/>
  <c r="AP92" i="18"/>
  <c r="AF72" i="18"/>
  <c r="AF32" i="18"/>
  <c r="V92" i="18"/>
  <c r="V32" i="18"/>
  <c r="V12" i="18"/>
  <c r="L92" i="18"/>
  <c r="L32" i="18"/>
  <c r="AZ92" i="18"/>
  <c r="L72" i="18"/>
  <c r="AF52" i="18"/>
  <c r="BB60" i="18"/>
  <c r="AH100" i="18"/>
  <c r="BB100" i="18"/>
  <c r="AR40" i="18"/>
  <c r="BB40" i="18"/>
  <c r="AH80" i="18"/>
  <c r="BB80" i="18"/>
  <c r="X60" i="18"/>
  <c r="AR60" i="18"/>
  <c r="X40" i="18"/>
  <c r="N40" i="18"/>
  <c r="BB20" i="18"/>
  <c r="AR100" i="18"/>
  <c r="AH40" i="18"/>
  <c r="AR80" i="18"/>
  <c r="X80" i="18"/>
  <c r="N20" i="18"/>
  <c r="X20" i="18"/>
  <c r="N100" i="18"/>
  <c r="AR20" i="18"/>
  <c r="AH60" i="18"/>
  <c r="AH20" i="18"/>
  <c r="X100" i="18"/>
  <c r="N80" i="18"/>
  <c r="N60" i="18"/>
  <c r="BD56" i="18"/>
  <c r="AJ96" i="18"/>
  <c r="BD96" i="18"/>
  <c r="AT36" i="18"/>
  <c r="BD36" i="18"/>
  <c r="AJ76" i="18"/>
  <c r="Z56" i="18"/>
  <c r="AT76" i="18"/>
  <c r="Z36" i="18"/>
  <c r="AT56" i="18"/>
  <c r="AT16" i="18"/>
  <c r="P36" i="18"/>
  <c r="BD76" i="18"/>
  <c r="AJ56" i="18"/>
  <c r="AJ16" i="18"/>
  <c r="Z76" i="18"/>
  <c r="Z96" i="18"/>
  <c r="Z16" i="18"/>
  <c r="P96" i="18"/>
  <c r="BD16" i="18"/>
  <c r="P76" i="18"/>
  <c r="AT96" i="18"/>
  <c r="AJ36" i="18"/>
  <c r="P56" i="18"/>
  <c r="AN94" i="18"/>
  <c r="T14" i="18"/>
  <c r="T74" i="18"/>
  <c r="AD54" i="18"/>
  <c r="AD74" i="18"/>
  <c r="AX74" i="18"/>
  <c r="T34" i="18"/>
  <c r="AD94" i="18"/>
  <c r="AN74" i="18"/>
  <c r="AD34" i="18"/>
  <c r="AN54" i="18"/>
  <c r="AX14" i="18"/>
  <c r="J94" i="18"/>
  <c r="AD14" i="18"/>
  <c r="J74" i="18"/>
  <c r="AN14" i="18"/>
  <c r="AX94" i="18"/>
  <c r="J54" i="18"/>
  <c r="J34" i="18"/>
  <c r="AN34" i="18"/>
  <c r="AX54" i="18"/>
  <c r="T54" i="18"/>
  <c r="AX34" i="18"/>
  <c r="T94" i="18"/>
  <c r="AX76" i="18"/>
  <c r="AN16" i="18"/>
  <c r="AN56" i="18"/>
  <c r="AX56" i="18"/>
  <c r="AD96" i="18"/>
  <c r="AX16" i="18"/>
  <c r="T76" i="18"/>
  <c r="AN96" i="18"/>
  <c r="AD16" i="18"/>
  <c r="AN36" i="18"/>
  <c r="T56" i="18"/>
  <c r="AN76" i="18"/>
  <c r="J76" i="18"/>
  <c r="J56" i="18"/>
  <c r="AX96" i="18"/>
  <c r="AD56" i="18"/>
  <c r="J36" i="18"/>
  <c r="AX36" i="18"/>
  <c r="T36" i="18"/>
  <c r="T16" i="18"/>
  <c r="J96" i="18"/>
  <c r="T96" i="18"/>
  <c r="AD36" i="18"/>
  <c r="AD76" i="18"/>
  <c r="AR46" i="18"/>
  <c r="AR86" i="18"/>
  <c r="BB86" i="18"/>
  <c r="AR26" i="18"/>
  <c r="BB46" i="18"/>
  <c r="BB26" i="18"/>
  <c r="AH46" i="18"/>
  <c r="AH26" i="18"/>
  <c r="AR66" i="18"/>
  <c r="X86" i="18"/>
  <c r="AH66" i="18"/>
  <c r="AR6" i="18"/>
  <c r="N26" i="18"/>
  <c r="BB66" i="18"/>
  <c r="N66" i="18"/>
  <c r="AH86" i="18"/>
  <c r="X66" i="18"/>
  <c r="X46" i="18"/>
  <c r="X26" i="18"/>
  <c r="X6" i="18"/>
  <c r="N86" i="18"/>
  <c r="AH6" i="18"/>
  <c r="BB6" i="18"/>
  <c r="N46" i="18"/>
  <c r="AZ50" i="18"/>
  <c r="AF90" i="18"/>
  <c r="AZ90" i="18"/>
  <c r="AP30" i="18"/>
  <c r="AZ30" i="18"/>
  <c r="AF70" i="18"/>
  <c r="AZ10" i="18"/>
  <c r="V50" i="18"/>
  <c r="AP90" i="18"/>
  <c r="AF50" i="18"/>
  <c r="AF30" i="18"/>
  <c r="V30" i="18"/>
  <c r="AZ70" i="18"/>
  <c r="AF10" i="18"/>
  <c r="L30" i="18"/>
  <c r="L70" i="18"/>
  <c r="AP70" i="18"/>
  <c r="AP50" i="18"/>
  <c r="V90" i="18"/>
  <c r="V70" i="18"/>
  <c r="L50" i="18"/>
  <c r="AP10" i="18"/>
  <c r="V10" i="18"/>
  <c r="L90" i="18"/>
  <c r="AX42" i="18"/>
  <c r="AD82" i="18"/>
  <c r="AX82" i="18"/>
  <c r="AN22" i="18"/>
  <c r="AX22" i="18"/>
  <c r="AD62" i="18"/>
  <c r="AD102" i="18"/>
  <c r="T42" i="18"/>
  <c r="AN102" i="18"/>
  <c r="AN42" i="18"/>
  <c r="T22" i="18"/>
  <c r="AD42" i="18"/>
  <c r="J22" i="18"/>
  <c r="AN82" i="18"/>
  <c r="T82" i="18"/>
  <c r="T62" i="18"/>
  <c r="AN62" i="18"/>
  <c r="J102" i="18"/>
  <c r="J62" i="18"/>
  <c r="T102" i="18"/>
  <c r="J82" i="18"/>
  <c r="AX102" i="18"/>
  <c r="AD22" i="18"/>
  <c r="J42" i="18"/>
  <c r="AX62" i="18"/>
  <c r="BF30" i="18"/>
  <c r="AL70" i="18"/>
  <c r="BF70" i="18"/>
  <c r="AV10" i="18"/>
  <c r="BF10" i="18"/>
  <c r="AL50" i="18"/>
  <c r="BF50" i="18"/>
  <c r="AL90" i="18"/>
  <c r="AB30" i="18"/>
  <c r="AV30" i="18"/>
  <c r="AL10" i="18"/>
  <c r="BF90" i="18"/>
  <c r="AB10" i="18"/>
  <c r="R70" i="18"/>
  <c r="AV90" i="18"/>
  <c r="AV70" i="18"/>
  <c r="R50" i="18"/>
  <c r="AV50" i="18"/>
  <c r="AL30" i="18"/>
  <c r="AB90" i="18"/>
  <c r="AB70" i="18"/>
  <c r="AB50" i="18"/>
  <c r="R90" i="18"/>
  <c r="R30" i="18"/>
  <c r="AT100" i="18"/>
  <c r="AJ40" i="18"/>
  <c r="BD40" i="18"/>
  <c r="AT80" i="18"/>
  <c r="AJ20" i="18"/>
  <c r="BD20" i="18"/>
  <c r="AJ80" i="18"/>
  <c r="AJ60" i="18"/>
  <c r="P100" i="18"/>
  <c r="AJ100" i="18"/>
  <c r="BD60" i="18"/>
  <c r="P80" i="18"/>
  <c r="P40" i="18"/>
  <c r="Z80" i="18"/>
  <c r="P20" i="18"/>
  <c r="AT60" i="18"/>
  <c r="AT40" i="18"/>
  <c r="Z60" i="18"/>
  <c r="Z40" i="18"/>
  <c r="Z20" i="18"/>
  <c r="AT20" i="18"/>
  <c r="Z100" i="18"/>
  <c r="P60" i="18"/>
  <c r="BD100" i="18"/>
  <c r="BD80" i="18"/>
  <c r="AT78" i="18"/>
  <c r="AJ18" i="18"/>
  <c r="BD18" i="18"/>
  <c r="AT58" i="18"/>
  <c r="Z98" i="18"/>
  <c r="BD98" i="18"/>
  <c r="AT18" i="18"/>
  <c r="BD78" i="18"/>
  <c r="Z38" i="18"/>
  <c r="Z18" i="18"/>
  <c r="P98" i="18"/>
  <c r="P18" i="18"/>
  <c r="BD58" i="18"/>
  <c r="P78" i="18"/>
  <c r="P58" i="18"/>
  <c r="BD38" i="18"/>
  <c r="AJ78" i="18"/>
  <c r="AJ38" i="18"/>
  <c r="AT98" i="18"/>
  <c r="P38" i="18"/>
  <c r="AJ98" i="18"/>
  <c r="Z78" i="18"/>
  <c r="AT38" i="18"/>
  <c r="AJ58" i="18"/>
  <c r="Z58" i="18"/>
  <c r="AV74" i="18"/>
  <c r="AL14" i="18"/>
  <c r="BF14" i="18"/>
  <c r="AV54" i="18"/>
  <c r="AB94" i="18"/>
  <c r="BF74" i="18"/>
  <c r="BF54" i="18"/>
  <c r="AL74" i="18"/>
  <c r="AL54" i="18"/>
  <c r="AL34" i="18"/>
  <c r="AV94" i="18"/>
  <c r="AV34" i="18"/>
  <c r="R74" i="18"/>
  <c r="R54" i="18"/>
  <c r="BF94" i="18"/>
  <c r="AV14" i="18"/>
  <c r="AL94" i="18"/>
  <c r="AB74" i="18"/>
  <c r="AB54" i="18"/>
  <c r="R34" i="18"/>
  <c r="BF34" i="18"/>
  <c r="AB34" i="18"/>
  <c r="AB14" i="18"/>
  <c r="R94" i="18"/>
  <c r="L12" i="19"/>
  <c r="L18" i="18"/>
  <c r="R16" i="18"/>
  <c r="J18" i="18"/>
  <c r="N16" i="18"/>
  <c r="P16" i="18"/>
  <c r="L16" i="18"/>
  <c r="P85" i="1"/>
  <c r="AE85" i="1" s="1"/>
  <c r="AD85" i="1" s="1"/>
  <c r="Q85" i="1"/>
  <c r="R10" i="18"/>
  <c r="R14" i="18"/>
  <c r="L14" i="18"/>
  <c r="P12" i="18"/>
  <c r="N14" i="18"/>
  <c r="J16" i="18"/>
  <c r="R12" i="18"/>
  <c r="N12" i="18"/>
  <c r="J12" i="18"/>
  <c r="P10" i="18"/>
  <c r="P14" i="18"/>
  <c r="L12" i="18"/>
  <c r="J14" i="18"/>
  <c r="AF24" i="1"/>
  <c r="P127" i="1"/>
  <c r="AE127" i="1" s="1"/>
  <c r="AD127" i="1" s="1"/>
  <c r="Q127" i="1"/>
  <c r="P130" i="1"/>
  <c r="AE130" i="1" s="1"/>
  <c r="AD130" i="1" s="1"/>
  <c r="Q130" i="1"/>
  <c r="P136" i="1"/>
  <c r="AE136" i="1" s="1"/>
  <c r="AD136" i="1" s="1"/>
  <c r="Q136" i="1"/>
  <c r="P133" i="1"/>
  <c r="AE133" i="1" s="1"/>
  <c r="AD133" i="1" s="1"/>
  <c r="Q133" i="1"/>
  <c r="N6" i="18"/>
  <c r="L10" i="18"/>
  <c r="N10" i="18"/>
  <c r="L6" i="18"/>
  <c r="J8" i="18"/>
  <c r="R8" i="18"/>
  <c r="N8" i="18"/>
  <c r="J10" i="18"/>
  <c r="P8" i="18"/>
  <c r="L8" i="18"/>
  <c r="R6" i="18"/>
  <c r="P6" i="18"/>
  <c r="P22" i="1"/>
  <c r="Q22" i="1"/>
  <c r="P55" i="1"/>
  <c r="Q55" i="1"/>
  <c r="P49" i="1"/>
  <c r="AE49" i="1" s="1"/>
  <c r="AD49" i="1" s="1"/>
  <c r="Q49" i="1"/>
  <c r="P19" i="1"/>
  <c r="AE19" i="1" s="1"/>
  <c r="AD19" i="1" s="1"/>
  <c r="Q19" i="1"/>
  <c r="P82" i="1"/>
  <c r="Q82" i="1"/>
  <c r="P109" i="1"/>
  <c r="AE109" i="1" s="1"/>
  <c r="AD109" i="1" s="1"/>
  <c r="Q109" i="1"/>
  <c r="P61" i="1"/>
  <c r="AE61" i="1" s="1"/>
  <c r="AD61" i="1" s="1"/>
  <c r="Q61" i="1"/>
  <c r="P31" i="1"/>
  <c r="AE31" i="1" s="1"/>
  <c r="AD31" i="1" s="1"/>
  <c r="Q31" i="1"/>
  <c r="P43" i="1"/>
  <c r="AE43" i="1" s="1"/>
  <c r="AD43" i="1" s="1"/>
  <c r="Q43" i="1"/>
  <c r="P25" i="1"/>
  <c r="AE25" i="1" s="1"/>
  <c r="AD25" i="1" s="1"/>
  <c r="Q25" i="1"/>
  <c r="P112" i="1"/>
  <c r="AE112" i="1" s="1"/>
  <c r="AD112" i="1" s="1"/>
  <c r="Q112" i="1"/>
  <c r="P76" i="1"/>
  <c r="AE76" i="1" s="1"/>
  <c r="AD76" i="1" s="1"/>
  <c r="Q76" i="1"/>
  <c r="P37" i="1"/>
  <c r="AE37" i="1" s="1"/>
  <c r="AD37" i="1" s="1"/>
  <c r="Q37" i="1"/>
  <c r="P115" i="1"/>
  <c r="AE115" i="1" s="1"/>
  <c r="AD115" i="1" s="1"/>
  <c r="Q115" i="1"/>
  <c r="P91" i="1"/>
  <c r="AE91" i="1" s="1"/>
  <c r="AD91" i="1" s="1"/>
  <c r="Q91" i="1"/>
  <c r="P52" i="1"/>
  <c r="AE52" i="1" s="1"/>
  <c r="AD52" i="1" s="1"/>
  <c r="Q52" i="1"/>
  <c r="P13" i="1"/>
  <c r="Q13" i="1"/>
  <c r="P124" i="1"/>
  <c r="AE124" i="1" s="1"/>
  <c r="AD124" i="1" s="1"/>
  <c r="Q124" i="1"/>
  <c r="P46" i="1"/>
  <c r="AE46" i="1" s="1"/>
  <c r="AD46" i="1" s="1"/>
  <c r="Q46" i="1"/>
  <c r="P118" i="1"/>
  <c r="AE118" i="1" s="1"/>
  <c r="AD118" i="1" s="1"/>
  <c r="Q118" i="1"/>
  <c r="P103" i="1"/>
  <c r="AE103" i="1" s="1"/>
  <c r="AD103" i="1" s="1"/>
  <c r="Q103" i="1"/>
  <c r="P64" i="1"/>
  <c r="AE64" i="1" s="1"/>
  <c r="AD64" i="1" s="1"/>
  <c r="Q64" i="1"/>
  <c r="P67" i="1"/>
  <c r="AE67" i="1" s="1"/>
  <c r="AD67" i="1" s="1"/>
  <c r="Q67" i="1"/>
  <c r="P58" i="1"/>
  <c r="AE58" i="1" s="1"/>
  <c r="AD58" i="1" s="1"/>
  <c r="Q58" i="1"/>
  <c r="P121" i="1"/>
  <c r="AE121" i="1" s="1"/>
  <c r="AD121" i="1" s="1"/>
  <c r="Q121" i="1"/>
  <c r="P16" i="1"/>
  <c r="AE16" i="1" s="1"/>
  <c r="AD16" i="1" s="1"/>
  <c r="Q16" i="1"/>
  <c r="P79" i="1"/>
  <c r="AE79" i="1" s="1"/>
  <c r="AD79" i="1" s="1"/>
  <c r="Q79" i="1"/>
  <c r="P73" i="1"/>
  <c r="AE73" i="1" s="1"/>
  <c r="AD73" i="1" s="1"/>
  <c r="Q73" i="1"/>
  <c r="P28" i="1"/>
  <c r="AE28" i="1" s="1"/>
  <c r="AD28" i="1" s="1"/>
  <c r="Q28" i="1"/>
  <c r="P106" i="1"/>
  <c r="AE106" i="1" s="1"/>
  <c r="AD106" i="1" s="1"/>
  <c r="Q106" i="1"/>
  <c r="P94" i="1"/>
  <c r="AE94" i="1" s="1"/>
  <c r="AD94" i="1" s="1"/>
  <c r="Q94" i="1"/>
  <c r="P34" i="1"/>
  <c r="AE34" i="1" s="1"/>
  <c r="AD34" i="1" s="1"/>
  <c r="Q34" i="1"/>
  <c r="P97" i="1"/>
  <c r="Q97" i="1"/>
  <c r="P88" i="1"/>
  <c r="AE88" i="1" s="1"/>
  <c r="AD88" i="1" s="1"/>
  <c r="Q88" i="1"/>
  <c r="P40" i="1"/>
  <c r="AE40" i="1" s="1"/>
  <c r="AD40" i="1" s="1"/>
  <c r="Q40" i="1"/>
  <c r="P10" i="1"/>
  <c r="Q10" i="1"/>
  <c r="V185" i="19" l="1"/>
  <c r="V135" i="19"/>
  <c r="S135" i="19"/>
  <c r="V35" i="19"/>
  <c r="S35" i="19"/>
  <c r="S185" i="19"/>
  <c r="V85" i="19"/>
  <c r="P185" i="19"/>
  <c r="S85" i="19"/>
  <c r="P135" i="19"/>
  <c r="J85" i="19"/>
  <c r="P235" i="19"/>
  <c r="M135" i="19"/>
  <c r="S235" i="19"/>
  <c r="P35" i="19"/>
  <c r="J185" i="19"/>
  <c r="V235" i="19"/>
  <c r="P85" i="19"/>
  <c r="M35" i="19"/>
  <c r="M185" i="19"/>
  <c r="J135" i="19"/>
  <c r="J235" i="19"/>
  <c r="M85" i="19"/>
  <c r="M235" i="19"/>
  <c r="V211" i="19"/>
  <c r="V11" i="19"/>
  <c r="V161" i="19"/>
  <c r="S11" i="19"/>
  <c r="S161" i="19"/>
  <c r="V61" i="19"/>
  <c r="P161" i="19"/>
  <c r="S61" i="19"/>
  <c r="S211" i="19"/>
  <c r="V111" i="19"/>
  <c r="P211" i="19"/>
  <c r="P11" i="19"/>
  <c r="J161" i="19"/>
  <c r="M11" i="19"/>
  <c r="M161" i="19"/>
  <c r="S111" i="19"/>
  <c r="P61" i="19"/>
  <c r="J111" i="19"/>
  <c r="M61" i="19"/>
  <c r="P111" i="19"/>
  <c r="M211" i="19"/>
  <c r="J211" i="19"/>
  <c r="J61" i="19"/>
  <c r="M111" i="19"/>
  <c r="S192" i="19"/>
  <c r="V92" i="19"/>
  <c r="P192" i="19"/>
  <c r="S92" i="19"/>
  <c r="S242" i="19"/>
  <c r="P92" i="19"/>
  <c r="V192" i="19"/>
  <c r="V142" i="19"/>
  <c r="P242" i="19"/>
  <c r="S142" i="19"/>
  <c r="V42" i="19"/>
  <c r="P142" i="19"/>
  <c r="M192" i="19"/>
  <c r="J142" i="19"/>
  <c r="M92" i="19"/>
  <c r="J242" i="19"/>
  <c r="M242" i="19"/>
  <c r="V242" i="19"/>
  <c r="J92" i="19"/>
  <c r="S42" i="19"/>
  <c r="M142" i="19"/>
  <c r="P42" i="19"/>
  <c r="J192" i="19"/>
  <c r="J42" i="19"/>
  <c r="M42" i="19"/>
  <c r="V177" i="19"/>
  <c r="V227" i="19"/>
  <c r="V127" i="19"/>
  <c r="S127" i="19"/>
  <c r="V27" i="19"/>
  <c r="S27" i="19"/>
  <c r="S177" i="19"/>
  <c r="V77" i="19"/>
  <c r="P177" i="19"/>
  <c r="S77" i="19"/>
  <c r="P77" i="19"/>
  <c r="J77" i="19"/>
  <c r="S227" i="19"/>
  <c r="P227" i="19"/>
  <c r="M127" i="19"/>
  <c r="P27" i="19"/>
  <c r="J177" i="19"/>
  <c r="M27" i="19"/>
  <c r="P127" i="19"/>
  <c r="M177" i="19"/>
  <c r="J127" i="19"/>
  <c r="M77" i="19"/>
  <c r="M227" i="19"/>
  <c r="J227" i="19"/>
  <c r="V183" i="19"/>
  <c r="V233" i="19"/>
  <c r="V33" i="19"/>
  <c r="S33" i="19"/>
  <c r="S183" i="19"/>
  <c r="V83" i="19"/>
  <c r="P183" i="19"/>
  <c r="S83" i="19"/>
  <c r="S233" i="19"/>
  <c r="V133" i="19"/>
  <c r="P233" i="19"/>
  <c r="S133" i="19"/>
  <c r="P33" i="19"/>
  <c r="J183" i="19"/>
  <c r="M33" i="19"/>
  <c r="P83" i="19"/>
  <c r="M183" i="19"/>
  <c r="P133" i="19"/>
  <c r="J133" i="19"/>
  <c r="M83" i="19"/>
  <c r="M233" i="19"/>
  <c r="J233" i="19"/>
  <c r="J83" i="19"/>
  <c r="M133" i="19"/>
  <c r="V240" i="19"/>
  <c r="S90" i="19"/>
  <c r="S240" i="19"/>
  <c r="P90" i="19"/>
  <c r="V190" i="19"/>
  <c r="V140" i="19"/>
  <c r="P240" i="19"/>
  <c r="S140" i="19"/>
  <c r="V40" i="19"/>
  <c r="P140" i="19"/>
  <c r="S40" i="19"/>
  <c r="S190" i="19"/>
  <c r="M90" i="19"/>
  <c r="J40" i="19"/>
  <c r="P190" i="19"/>
  <c r="M240" i="19"/>
  <c r="J90" i="19"/>
  <c r="M140" i="19"/>
  <c r="V90" i="19"/>
  <c r="P40" i="19"/>
  <c r="J190" i="19"/>
  <c r="M40" i="19"/>
  <c r="M190" i="19"/>
  <c r="J140" i="19"/>
  <c r="J240" i="19"/>
  <c r="S210" i="19"/>
  <c r="V110" i="19"/>
  <c r="P210" i="19"/>
  <c r="V210" i="19"/>
  <c r="S110" i="19"/>
  <c r="V10" i="19"/>
  <c r="P110" i="19"/>
  <c r="V160" i="19"/>
  <c r="S10" i="19"/>
  <c r="S160" i="19"/>
  <c r="V60" i="19"/>
  <c r="P160" i="19"/>
  <c r="M210" i="19"/>
  <c r="J210" i="19"/>
  <c r="J60" i="19"/>
  <c r="S60" i="19"/>
  <c r="M110" i="19"/>
  <c r="P10" i="19"/>
  <c r="J160" i="19"/>
  <c r="M10" i="19"/>
  <c r="M160" i="19"/>
  <c r="M60" i="19"/>
  <c r="J110" i="19"/>
  <c r="P60" i="19"/>
  <c r="S176" i="19"/>
  <c r="S26" i="19"/>
  <c r="J226" i="19"/>
  <c r="P226" i="19"/>
  <c r="P76" i="19"/>
  <c r="V76" i="19"/>
  <c r="S226" i="19"/>
  <c r="P26" i="19"/>
  <c r="M126" i="19"/>
  <c r="V226" i="19"/>
  <c r="M76" i="19"/>
  <c r="J126" i="19"/>
  <c r="V26" i="19"/>
  <c r="J76" i="19"/>
  <c r="J176" i="19"/>
  <c r="S126" i="19"/>
  <c r="S76" i="19"/>
  <c r="M26" i="19"/>
  <c r="V126" i="19"/>
  <c r="P176" i="19"/>
  <c r="P126" i="19"/>
  <c r="V176" i="19"/>
  <c r="M226" i="19"/>
  <c r="M176" i="19"/>
  <c r="V243" i="19"/>
  <c r="V193" i="19"/>
  <c r="S243" i="19"/>
  <c r="V143" i="19"/>
  <c r="P243" i="19"/>
  <c r="S143" i="19"/>
  <c r="V43" i="19"/>
  <c r="P143" i="19"/>
  <c r="S43" i="19"/>
  <c r="S193" i="19"/>
  <c r="V93" i="19"/>
  <c r="P193" i="19"/>
  <c r="M243" i="19"/>
  <c r="J243" i="19"/>
  <c r="J93" i="19"/>
  <c r="P93" i="19"/>
  <c r="M143" i="19"/>
  <c r="P43" i="19"/>
  <c r="J193" i="19"/>
  <c r="M43" i="19"/>
  <c r="M193" i="19"/>
  <c r="J43" i="19"/>
  <c r="M93" i="19"/>
  <c r="J143" i="19"/>
  <c r="S93" i="19"/>
  <c r="V113" i="19"/>
  <c r="S113" i="19"/>
  <c r="V13" i="19"/>
  <c r="V213" i="19"/>
  <c r="V163" i="19"/>
  <c r="S13" i="19"/>
  <c r="S163" i="19"/>
  <c r="V63" i="19"/>
  <c r="P163" i="19"/>
  <c r="S63" i="19"/>
  <c r="P213" i="19"/>
  <c r="J63" i="19"/>
  <c r="M113" i="19"/>
  <c r="P13" i="19"/>
  <c r="J163" i="19"/>
  <c r="M13" i="19"/>
  <c r="M163" i="19"/>
  <c r="P63" i="19"/>
  <c r="J113" i="19"/>
  <c r="S213" i="19"/>
  <c r="M63" i="19"/>
  <c r="P113" i="19"/>
  <c r="M213" i="19"/>
  <c r="J213" i="19"/>
  <c r="S141" i="19"/>
  <c r="V41" i="19"/>
  <c r="P141" i="19"/>
  <c r="V241" i="19"/>
  <c r="S41" i="19"/>
  <c r="S191" i="19"/>
  <c r="V91" i="19"/>
  <c r="P191" i="19"/>
  <c r="S91" i="19"/>
  <c r="S241" i="19"/>
  <c r="M141" i="19"/>
  <c r="V191" i="19"/>
  <c r="P41" i="19"/>
  <c r="M41" i="19"/>
  <c r="M191" i="19"/>
  <c r="P241" i="19"/>
  <c r="J141" i="19"/>
  <c r="P91" i="19"/>
  <c r="M91" i="19"/>
  <c r="V141" i="19"/>
  <c r="J41" i="19"/>
  <c r="J91" i="19"/>
  <c r="J191" i="19"/>
  <c r="J241" i="19"/>
  <c r="M241" i="19"/>
  <c r="V171" i="19"/>
  <c r="V121" i="19"/>
  <c r="S121" i="19"/>
  <c r="V21" i="19"/>
  <c r="S21" i="19"/>
  <c r="S171" i="19"/>
  <c r="V71" i="19"/>
  <c r="P171" i="19"/>
  <c r="V221" i="19"/>
  <c r="S71" i="19"/>
  <c r="J71" i="19"/>
  <c r="M121" i="19"/>
  <c r="P121" i="19"/>
  <c r="P21" i="19"/>
  <c r="J171" i="19"/>
  <c r="M21" i="19"/>
  <c r="M171" i="19"/>
  <c r="P71" i="19"/>
  <c r="S221" i="19"/>
  <c r="J121" i="19"/>
  <c r="P221" i="19"/>
  <c r="M221" i="19"/>
  <c r="J221" i="19"/>
  <c r="M71" i="19"/>
  <c r="S218" i="19"/>
  <c r="V118" i="19"/>
  <c r="P218" i="19"/>
  <c r="S118" i="19"/>
  <c r="V18" i="19"/>
  <c r="P118" i="19"/>
  <c r="V168" i="19"/>
  <c r="S18" i="19"/>
  <c r="V218" i="19"/>
  <c r="S168" i="19"/>
  <c r="V68" i="19"/>
  <c r="P168" i="19"/>
  <c r="S68" i="19"/>
  <c r="M218" i="19"/>
  <c r="J218" i="19"/>
  <c r="J68" i="19"/>
  <c r="M118" i="19"/>
  <c r="J168" i="19"/>
  <c r="P18" i="19"/>
  <c r="M18" i="19"/>
  <c r="M168" i="19"/>
  <c r="P68" i="19"/>
  <c r="M68" i="19"/>
  <c r="J118" i="19"/>
  <c r="S130" i="19"/>
  <c r="V230" i="19"/>
  <c r="V30" i="19"/>
  <c r="P130" i="19"/>
  <c r="S30" i="19"/>
  <c r="S180" i="19"/>
  <c r="V180" i="19"/>
  <c r="V80" i="19"/>
  <c r="P180" i="19"/>
  <c r="S80" i="19"/>
  <c r="S230" i="19"/>
  <c r="M130" i="19"/>
  <c r="P80" i="19"/>
  <c r="P30" i="19"/>
  <c r="P230" i="19"/>
  <c r="M30" i="19"/>
  <c r="V130" i="19"/>
  <c r="M180" i="19"/>
  <c r="J130" i="19"/>
  <c r="M80" i="19"/>
  <c r="J80" i="19"/>
  <c r="J180" i="19"/>
  <c r="M230" i="19"/>
  <c r="J230" i="19"/>
  <c r="V175" i="19"/>
  <c r="S175" i="19"/>
  <c r="V75" i="19"/>
  <c r="P175" i="19"/>
  <c r="S75" i="19"/>
  <c r="S225" i="19"/>
  <c r="V225" i="19"/>
  <c r="V125" i="19"/>
  <c r="P225" i="19"/>
  <c r="S125" i="19"/>
  <c r="V25" i="19"/>
  <c r="P125" i="19"/>
  <c r="M175" i="19"/>
  <c r="M75" i="19"/>
  <c r="M225" i="19"/>
  <c r="J225" i="19"/>
  <c r="P75" i="19"/>
  <c r="J75" i="19"/>
  <c r="S25" i="19"/>
  <c r="M125" i="19"/>
  <c r="M25" i="19"/>
  <c r="P25" i="19"/>
  <c r="J125" i="19"/>
  <c r="J175" i="19"/>
  <c r="V214" i="19"/>
  <c r="V164" i="19"/>
  <c r="S14" i="19"/>
  <c r="S164" i="19"/>
  <c r="V64" i="19"/>
  <c r="S64" i="19"/>
  <c r="S214" i="19"/>
  <c r="P64" i="19"/>
  <c r="V114" i="19"/>
  <c r="P214" i="19"/>
  <c r="S114" i="19"/>
  <c r="M14" i="19"/>
  <c r="M164" i="19"/>
  <c r="J114" i="19"/>
  <c r="M64" i="19"/>
  <c r="P114" i="19"/>
  <c r="M214" i="19"/>
  <c r="J214" i="19"/>
  <c r="J64" i="19"/>
  <c r="J164" i="19"/>
  <c r="P14" i="19"/>
  <c r="M114" i="19"/>
  <c r="P164" i="19"/>
  <c r="V14" i="19"/>
  <c r="V245" i="19"/>
  <c r="V95" i="19"/>
  <c r="S95" i="19"/>
  <c r="S245" i="19"/>
  <c r="V145" i="19"/>
  <c r="P245" i="19"/>
  <c r="S145" i="19"/>
  <c r="V195" i="19"/>
  <c r="V45" i="19"/>
  <c r="P145" i="19"/>
  <c r="S45" i="19"/>
  <c r="J145" i="19"/>
  <c r="M95" i="19"/>
  <c r="S195" i="19"/>
  <c r="M245" i="19"/>
  <c r="J245" i="19"/>
  <c r="P95" i="19"/>
  <c r="J95" i="19"/>
  <c r="J45" i="19"/>
  <c r="M145" i="19"/>
  <c r="P45" i="19"/>
  <c r="J195" i="19"/>
  <c r="P195" i="19"/>
  <c r="M195" i="19"/>
  <c r="M45" i="19"/>
  <c r="V239" i="19"/>
  <c r="S39" i="19"/>
  <c r="S189" i="19"/>
  <c r="V89" i="19"/>
  <c r="S89" i="19"/>
  <c r="S239" i="19"/>
  <c r="P89" i="19"/>
  <c r="V189" i="19"/>
  <c r="V139" i="19"/>
  <c r="P239" i="19"/>
  <c r="S139" i="19"/>
  <c r="M39" i="19"/>
  <c r="M189" i="19"/>
  <c r="J139" i="19"/>
  <c r="M89" i="19"/>
  <c r="V39" i="19"/>
  <c r="P189" i="19"/>
  <c r="M239" i="19"/>
  <c r="J239" i="19"/>
  <c r="P139" i="19"/>
  <c r="J89" i="19"/>
  <c r="M139" i="19"/>
  <c r="J189" i="19"/>
  <c r="J39" i="19"/>
  <c r="P39" i="19"/>
  <c r="V217" i="19"/>
  <c r="S167" i="19"/>
  <c r="V67" i="19"/>
  <c r="P167" i="19"/>
  <c r="S67" i="19"/>
  <c r="S217" i="19"/>
  <c r="V117" i="19"/>
  <c r="P217" i="19"/>
  <c r="S117" i="19"/>
  <c r="V17" i="19"/>
  <c r="M167" i="19"/>
  <c r="V167" i="19"/>
  <c r="P67" i="19"/>
  <c r="M67" i="19"/>
  <c r="M217" i="19"/>
  <c r="J217" i="19"/>
  <c r="J67" i="19"/>
  <c r="P117" i="19"/>
  <c r="M117" i="19"/>
  <c r="J117" i="19"/>
  <c r="J167" i="19"/>
  <c r="M17" i="19"/>
  <c r="P17" i="19"/>
  <c r="S17" i="19"/>
  <c r="V219" i="19"/>
  <c r="V19" i="19"/>
  <c r="V169" i="19"/>
  <c r="S19" i="19"/>
  <c r="S169" i="19"/>
  <c r="V69" i="19"/>
  <c r="P169" i="19"/>
  <c r="S69" i="19"/>
  <c r="S219" i="19"/>
  <c r="V119" i="19"/>
  <c r="P219" i="19"/>
  <c r="P119" i="19"/>
  <c r="P19" i="19"/>
  <c r="J169" i="19"/>
  <c r="M19" i="19"/>
  <c r="S119" i="19"/>
  <c r="M169" i="19"/>
  <c r="J119" i="19"/>
  <c r="P69" i="19"/>
  <c r="M69" i="19"/>
  <c r="M219" i="19"/>
  <c r="J219" i="19"/>
  <c r="J69" i="19"/>
  <c r="M119" i="19"/>
  <c r="V237" i="19"/>
  <c r="S87" i="19"/>
  <c r="S237" i="19"/>
  <c r="P87" i="19"/>
  <c r="V187" i="19"/>
  <c r="V137" i="19"/>
  <c r="P237" i="19"/>
  <c r="S137" i="19"/>
  <c r="V37" i="19"/>
  <c r="P137" i="19"/>
  <c r="S37" i="19"/>
  <c r="S187" i="19"/>
  <c r="M87" i="19"/>
  <c r="P187" i="19"/>
  <c r="M237" i="19"/>
  <c r="J87" i="19"/>
  <c r="V87" i="19"/>
  <c r="M137" i="19"/>
  <c r="P37" i="19"/>
  <c r="J187" i="19"/>
  <c r="M37" i="19"/>
  <c r="M187" i="19"/>
  <c r="J137" i="19"/>
  <c r="J237" i="19"/>
  <c r="V232" i="19"/>
  <c r="V182" i="19"/>
  <c r="S232" i="19"/>
  <c r="V132" i="19"/>
  <c r="P232" i="19"/>
  <c r="S132" i="19"/>
  <c r="V32" i="19"/>
  <c r="P132" i="19"/>
  <c r="S32" i="19"/>
  <c r="S182" i="19"/>
  <c r="V82" i="19"/>
  <c r="P182" i="19"/>
  <c r="M232" i="19"/>
  <c r="J232" i="19"/>
  <c r="J82" i="19"/>
  <c r="M132" i="19"/>
  <c r="P32" i="19"/>
  <c r="J182" i="19"/>
  <c r="P82" i="19"/>
  <c r="M32" i="19"/>
  <c r="M182" i="19"/>
  <c r="S82" i="19"/>
  <c r="J132" i="19"/>
  <c r="M82" i="19"/>
  <c r="V220" i="19"/>
  <c r="V70" i="19"/>
  <c r="S70" i="19"/>
  <c r="S220" i="19"/>
  <c r="V120" i="19"/>
  <c r="P220" i="19"/>
  <c r="S120" i="19"/>
  <c r="V20" i="19"/>
  <c r="V170" i="19"/>
  <c r="S20" i="19"/>
  <c r="J120" i="19"/>
  <c r="M70" i="19"/>
  <c r="P170" i="19"/>
  <c r="P70" i="19"/>
  <c r="M220" i="19"/>
  <c r="J220" i="19"/>
  <c r="J70" i="19"/>
  <c r="S170" i="19"/>
  <c r="M120" i="19"/>
  <c r="P120" i="19"/>
  <c r="P20" i="19"/>
  <c r="J170" i="19"/>
  <c r="M20" i="19"/>
  <c r="M170" i="19"/>
  <c r="V234" i="19"/>
  <c r="V84" i="19"/>
  <c r="S84" i="19"/>
  <c r="V184" i="19"/>
  <c r="S234" i="19"/>
  <c r="V134" i="19"/>
  <c r="P234" i="19"/>
  <c r="S134" i="19"/>
  <c r="V34" i="19"/>
  <c r="S34" i="19"/>
  <c r="J134" i="19"/>
  <c r="S184" i="19"/>
  <c r="P184" i="19"/>
  <c r="M84" i="19"/>
  <c r="M234" i="19"/>
  <c r="J234" i="19"/>
  <c r="P134" i="19"/>
  <c r="J84" i="19"/>
  <c r="M134" i="19"/>
  <c r="P84" i="19"/>
  <c r="P34" i="19"/>
  <c r="J184" i="19"/>
  <c r="M184" i="19"/>
  <c r="M34" i="19"/>
  <c r="S116" i="19"/>
  <c r="V16" i="19"/>
  <c r="P116" i="19"/>
  <c r="V166" i="19"/>
  <c r="S16" i="19"/>
  <c r="V216" i="19"/>
  <c r="S166" i="19"/>
  <c r="V66" i="19"/>
  <c r="P166" i="19"/>
  <c r="S66" i="19"/>
  <c r="S216" i="19"/>
  <c r="V116" i="19"/>
  <c r="M116" i="19"/>
  <c r="P216" i="19"/>
  <c r="P16" i="19"/>
  <c r="M16" i="19"/>
  <c r="M166" i="19"/>
  <c r="J116" i="19"/>
  <c r="P66" i="19"/>
  <c r="M66" i="19"/>
  <c r="M216" i="19"/>
  <c r="J166" i="19"/>
  <c r="J216" i="19"/>
  <c r="J66" i="19"/>
  <c r="V228" i="19"/>
  <c r="S28" i="19"/>
  <c r="S178" i="19"/>
  <c r="V178" i="19"/>
  <c r="V78" i="19"/>
  <c r="S78" i="19"/>
  <c r="S228" i="19"/>
  <c r="P78" i="19"/>
  <c r="V128" i="19"/>
  <c r="P228" i="19"/>
  <c r="S128" i="19"/>
  <c r="M28" i="19"/>
  <c r="P128" i="19"/>
  <c r="M178" i="19"/>
  <c r="V28" i="19"/>
  <c r="J128" i="19"/>
  <c r="M78" i="19"/>
  <c r="M228" i="19"/>
  <c r="J228" i="19"/>
  <c r="J78" i="19"/>
  <c r="J178" i="19"/>
  <c r="M128" i="19"/>
  <c r="P178" i="19"/>
  <c r="P28" i="19"/>
  <c r="S124" i="19"/>
  <c r="V24" i="19"/>
  <c r="P124" i="19"/>
  <c r="S24" i="19"/>
  <c r="V174" i="19"/>
  <c r="S174" i="19"/>
  <c r="V74" i="19"/>
  <c r="P174" i="19"/>
  <c r="S74" i="19"/>
  <c r="S224" i="19"/>
  <c r="V224" i="19"/>
  <c r="V124" i="19"/>
  <c r="M124" i="19"/>
  <c r="P24" i="19"/>
  <c r="M24" i="19"/>
  <c r="M174" i="19"/>
  <c r="J124" i="19"/>
  <c r="M74" i="19"/>
  <c r="P224" i="19"/>
  <c r="M224" i="19"/>
  <c r="J174" i="19"/>
  <c r="J224" i="19"/>
  <c r="P74" i="19"/>
  <c r="J74" i="19"/>
  <c r="V194" i="19"/>
  <c r="V244" i="19"/>
  <c r="V44" i="19"/>
  <c r="S44" i="19"/>
  <c r="S194" i="19"/>
  <c r="V94" i="19"/>
  <c r="P194" i="19"/>
  <c r="S94" i="19"/>
  <c r="S244" i="19"/>
  <c r="V144" i="19"/>
  <c r="P244" i="19"/>
  <c r="P44" i="19"/>
  <c r="J194" i="19"/>
  <c r="S144" i="19"/>
  <c r="M44" i="19"/>
  <c r="M194" i="19"/>
  <c r="P94" i="19"/>
  <c r="P144" i="19"/>
  <c r="J144" i="19"/>
  <c r="M94" i="19"/>
  <c r="J44" i="19"/>
  <c r="M244" i="19"/>
  <c r="J244" i="19"/>
  <c r="J94" i="19"/>
  <c r="M144" i="19"/>
  <c r="V222" i="19"/>
  <c r="S22" i="19"/>
  <c r="V172" i="19"/>
  <c r="S172" i="19"/>
  <c r="V72" i="19"/>
  <c r="S72" i="19"/>
  <c r="S222" i="19"/>
  <c r="P72" i="19"/>
  <c r="V122" i="19"/>
  <c r="P222" i="19"/>
  <c r="S122" i="19"/>
  <c r="M22" i="19"/>
  <c r="M172" i="19"/>
  <c r="J122" i="19"/>
  <c r="M72" i="19"/>
  <c r="P172" i="19"/>
  <c r="M222" i="19"/>
  <c r="J222" i="19"/>
  <c r="V22" i="19"/>
  <c r="J72" i="19"/>
  <c r="M122" i="19"/>
  <c r="P22" i="19"/>
  <c r="P122" i="19"/>
  <c r="J172" i="19"/>
  <c r="V229" i="19"/>
  <c r="S79" i="19"/>
  <c r="S229" i="19"/>
  <c r="P79" i="19"/>
  <c r="V129" i="19"/>
  <c r="P229" i="19"/>
  <c r="S129" i="19"/>
  <c r="V29" i="19"/>
  <c r="P129" i="19"/>
  <c r="S29" i="19"/>
  <c r="S179" i="19"/>
  <c r="M79" i="19"/>
  <c r="V179" i="19"/>
  <c r="M229" i="19"/>
  <c r="J79" i="19"/>
  <c r="V79" i="19"/>
  <c r="M129" i="19"/>
  <c r="P179" i="19"/>
  <c r="P29" i="19"/>
  <c r="J179" i="19"/>
  <c r="M29" i="19"/>
  <c r="M179" i="19"/>
  <c r="J229" i="19"/>
  <c r="J129" i="19"/>
  <c r="S65" i="19"/>
  <c r="S215" i="19"/>
  <c r="V115" i="19"/>
  <c r="P215" i="19"/>
  <c r="S115" i="19"/>
  <c r="V15" i="19"/>
  <c r="P115" i="19"/>
  <c r="V165" i="19"/>
  <c r="S15" i="19"/>
  <c r="V215" i="19"/>
  <c r="S165" i="19"/>
  <c r="V65" i="19"/>
  <c r="P65" i="19"/>
  <c r="M65" i="19"/>
  <c r="M215" i="19"/>
  <c r="J65" i="19"/>
  <c r="M115" i="19"/>
  <c r="P165" i="19"/>
  <c r="P15" i="19"/>
  <c r="J165" i="19"/>
  <c r="M15" i="19"/>
  <c r="J215" i="19"/>
  <c r="M165" i="19"/>
  <c r="J115" i="19"/>
  <c r="S197" i="19"/>
  <c r="S47" i="19"/>
  <c r="P47" i="19"/>
  <c r="P147" i="19"/>
  <c r="M97" i="19"/>
  <c r="J147" i="19"/>
  <c r="V197" i="19"/>
  <c r="V97" i="19"/>
  <c r="P97" i="19"/>
  <c r="M47" i="19"/>
  <c r="M197" i="19"/>
  <c r="J197" i="19"/>
  <c r="J47" i="19"/>
  <c r="S247" i="19"/>
  <c r="V247" i="19"/>
  <c r="M147" i="19"/>
  <c r="J247" i="19"/>
  <c r="J97" i="19"/>
  <c r="S147" i="19"/>
  <c r="V147" i="19"/>
  <c r="V47" i="19"/>
  <c r="P247" i="19"/>
  <c r="S97" i="19"/>
  <c r="P197" i="19"/>
  <c r="M247" i="19"/>
  <c r="S200" i="19"/>
  <c r="V200" i="19"/>
  <c r="S150" i="19"/>
  <c r="P150" i="19"/>
  <c r="J50" i="19"/>
  <c r="J250" i="19"/>
  <c r="J100" i="19"/>
  <c r="V100" i="19"/>
  <c r="S250" i="19"/>
  <c r="P200" i="19"/>
  <c r="M200" i="19"/>
  <c r="S50" i="19"/>
  <c r="P100" i="19"/>
  <c r="V250" i="19"/>
  <c r="P250" i="19"/>
  <c r="M150" i="19"/>
  <c r="M100" i="19"/>
  <c r="V150" i="19"/>
  <c r="V50" i="19"/>
  <c r="P50" i="19"/>
  <c r="S100" i="19"/>
  <c r="J150" i="19"/>
  <c r="M50" i="19"/>
  <c r="J200" i="19"/>
  <c r="M250" i="19"/>
  <c r="V246" i="19"/>
  <c r="P246" i="19"/>
  <c r="M246" i="19"/>
  <c r="M146" i="19"/>
  <c r="M46" i="19"/>
  <c r="P146" i="19"/>
  <c r="V146" i="19"/>
  <c r="V46" i="19"/>
  <c r="P46" i="19"/>
  <c r="J96" i="19"/>
  <c r="J146" i="19"/>
  <c r="J246" i="19"/>
  <c r="J46" i="19"/>
  <c r="S246" i="19"/>
  <c r="M196" i="19"/>
  <c r="S196" i="19"/>
  <c r="V196" i="19"/>
  <c r="S146" i="19"/>
  <c r="S46" i="19"/>
  <c r="S96" i="19"/>
  <c r="M96" i="19"/>
  <c r="V96" i="19"/>
  <c r="P196" i="19"/>
  <c r="P96" i="19"/>
  <c r="J196" i="19"/>
  <c r="V248" i="19"/>
  <c r="V148" i="19"/>
  <c r="P148" i="19"/>
  <c r="M148" i="19"/>
  <c r="J198" i="19"/>
  <c r="M248" i="19"/>
  <c r="J98" i="19"/>
  <c r="V48" i="19"/>
  <c r="S198" i="19"/>
  <c r="M198" i="19"/>
  <c r="P248" i="19"/>
  <c r="M48" i="19"/>
  <c r="J148" i="19"/>
  <c r="V198" i="19"/>
  <c r="V98" i="19"/>
  <c r="S48" i="19"/>
  <c r="P48" i="19"/>
  <c r="J248" i="19"/>
  <c r="J48" i="19"/>
  <c r="S248" i="19"/>
  <c r="S98" i="19"/>
  <c r="P98" i="19"/>
  <c r="M98" i="19"/>
  <c r="S148" i="19"/>
  <c r="P198" i="19"/>
  <c r="V99" i="19"/>
  <c r="S249" i="19"/>
  <c r="P199" i="19"/>
  <c r="M199" i="19"/>
  <c r="J149" i="19"/>
  <c r="P49" i="19"/>
  <c r="J49" i="19"/>
  <c r="V249" i="19"/>
  <c r="V149" i="19"/>
  <c r="M249" i="19"/>
  <c r="S49" i="19"/>
  <c r="M99" i="19"/>
  <c r="J99" i="19"/>
  <c r="V49" i="19"/>
  <c r="S199" i="19"/>
  <c r="S99" i="19"/>
  <c r="P99" i="19"/>
  <c r="J199" i="19"/>
  <c r="M49" i="19"/>
  <c r="V199" i="19"/>
  <c r="S149" i="19"/>
  <c r="P149" i="19"/>
  <c r="M149" i="19"/>
  <c r="P249" i="19"/>
  <c r="J249" i="19"/>
  <c r="J18" i="19"/>
  <c r="J35" i="19"/>
  <c r="J14" i="19"/>
  <c r="J30" i="19"/>
  <c r="J27" i="19"/>
  <c r="J20" i="19"/>
  <c r="J34" i="19"/>
  <c r="J17" i="19"/>
  <c r="J19" i="19"/>
  <c r="J25" i="19"/>
  <c r="J11" i="19"/>
  <c r="J37" i="19"/>
  <c r="J33" i="19"/>
  <c r="J16" i="19"/>
  <c r="J28" i="19"/>
  <c r="J10" i="19"/>
  <c r="J24" i="19"/>
  <c r="J26" i="19"/>
  <c r="J22" i="19"/>
  <c r="J29" i="19"/>
  <c r="J13" i="19"/>
  <c r="J15" i="19"/>
  <c r="J21" i="19"/>
  <c r="J32" i="19"/>
  <c r="AF85" i="1"/>
  <c r="AE82" i="1"/>
  <c r="AE84" i="1"/>
  <c r="AD84" i="1" s="1"/>
  <c r="AF127" i="1"/>
  <c r="AF133" i="1"/>
  <c r="AF130" i="1"/>
  <c r="AF136" i="1"/>
  <c r="AF34" i="1"/>
  <c r="AF58" i="1"/>
  <c r="AF106" i="1"/>
  <c r="AE15" i="1"/>
  <c r="AD15" i="1" s="1"/>
  <c r="AE14" i="1"/>
  <c r="AD14" i="1" s="1"/>
  <c r="AE13" i="1"/>
  <c r="AD13" i="1" s="1"/>
  <c r="AF25" i="1"/>
  <c r="AF31" i="1"/>
  <c r="AF37" i="1"/>
  <c r="AF94" i="1"/>
  <c r="AF67" i="1"/>
  <c r="AF61" i="1"/>
  <c r="AF109" i="1"/>
  <c r="AF28" i="1"/>
  <c r="AF103" i="1"/>
  <c r="AF118" i="1"/>
  <c r="AF52" i="1"/>
  <c r="AF43" i="1"/>
  <c r="AF19" i="1"/>
  <c r="AF88" i="1"/>
  <c r="AF79" i="1"/>
  <c r="AE12" i="1"/>
  <c r="AD12" i="1" s="1"/>
  <c r="AE11" i="1"/>
  <c r="AD11" i="1" s="1"/>
  <c r="AE10" i="1"/>
  <c r="AD10" i="1" s="1"/>
  <c r="AF40" i="1"/>
  <c r="AF16" i="1"/>
  <c r="AF121" i="1"/>
  <c r="AF124" i="1"/>
  <c r="AF64" i="1"/>
  <c r="AF76" i="1"/>
  <c r="AF112" i="1"/>
  <c r="AF73" i="1"/>
  <c r="AF46" i="1"/>
  <c r="AF91" i="1"/>
  <c r="AF115" i="1"/>
  <c r="AF49" i="1"/>
  <c r="W10" i="1"/>
  <c r="AA10" i="1" s="1"/>
  <c r="AA11" i="1" s="1"/>
  <c r="W13" i="1"/>
  <c r="AA13" i="1" s="1"/>
  <c r="AA14" i="1" s="1"/>
  <c r="X231" i="19" l="1"/>
  <c r="U81" i="19"/>
  <c r="U231" i="19"/>
  <c r="R81" i="19"/>
  <c r="X131" i="19"/>
  <c r="R231" i="19"/>
  <c r="U131" i="19"/>
  <c r="X31" i="19"/>
  <c r="R131" i="19"/>
  <c r="U31" i="19"/>
  <c r="U181" i="19"/>
  <c r="O81" i="19"/>
  <c r="O231" i="19"/>
  <c r="L81" i="19"/>
  <c r="O131" i="19"/>
  <c r="X181" i="19"/>
  <c r="R31" i="19"/>
  <c r="L181" i="19"/>
  <c r="X81" i="19"/>
  <c r="O31" i="19"/>
  <c r="R181" i="19"/>
  <c r="L131" i="19"/>
  <c r="L231" i="19"/>
  <c r="O181" i="19"/>
  <c r="L31" i="19"/>
  <c r="AA15" i="1"/>
  <c r="AC14" i="1"/>
  <c r="AB14" i="1"/>
  <c r="W208" i="19" s="1"/>
  <c r="AA12" i="1"/>
  <c r="AB11" i="1"/>
  <c r="W207" i="19" s="1"/>
  <c r="AC11" i="1"/>
  <c r="AF84" i="1"/>
  <c r="AD82" i="1"/>
  <c r="AE83" i="1"/>
  <c r="AD83" i="1" s="1"/>
  <c r="AB7" i="1"/>
  <c r="Q57" i="19" l="1"/>
  <c r="K107" i="19"/>
  <c r="W157" i="19"/>
  <c r="Q107" i="19"/>
  <c r="K58" i="19"/>
  <c r="N108" i="19"/>
  <c r="N158" i="19"/>
  <c r="N8" i="19"/>
  <c r="N107" i="19"/>
  <c r="T58" i="19"/>
  <c r="K57" i="19"/>
  <c r="Q158" i="19"/>
  <c r="N57" i="19"/>
  <c r="K207" i="19"/>
  <c r="W7" i="19"/>
  <c r="K208" i="19"/>
  <c r="K158" i="19"/>
  <c r="W58" i="19"/>
  <c r="N157" i="19"/>
  <c r="N207" i="19"/>
  <c r="T107" i="19"/>
  <c r="N208" i="19"/>
  <c r="Q8" i="19"/>
  <c r="T158" i="19"/>
  <c r="N7" i="19"/>
  <c r="Q157" i="19"/>
  <c r="Q207" i="19"/>
  <c r="N58" i="19"/>
  <c r="T108" i="19"/>
  <c r="T8" i="19"/>
  <c r="T57" i="19"/>
  <c r="W57" i="19"/>
  <c r="W107" i="19"/>
  <c r="Q108" i="19"/>
  <c r="Q208" i="19"/>
  <c r="W158" i="19"/>
  <c r="Q7" i="19"/>
  <c r="T157" i="19"/>
  <c r="T207" i="19"/>
  <c r="K108" i="19"/>
  <c r="W108" i="19"/>
  <c r="W8" i="19"/>
  <c r="K157" i="19"/>
  <c r="T7" i="19"/>
  <c r="Q58" i="19"/>
  <c r="T208" i="19"/>
  <c r="W231" i="19"/>
  <c r="W181" i="19"/>
  <c r="W81" i="19"/>
  <c r="T81" i="19"/>
  <c r="T231" i="19"/>
  <c r="W131" i="19"/>
  <c r="Q231" i="19"/>
  <c r="T131" i="19"/>
  <c r="W31" i="19"/>
  <c r="T31" i="19"/>
  <c r="K131" i="19"/>
  <c r="Q131" i="19"/>
  <c r="N81" i="19"/>
  <c r="N231" i="19"/>
  <c r="K231" i="19"/>
  <c r="K81" i="19"/>
  <c r="N131" i="19"/>
  <c r="Q81" i="19"/>
  <c r="Q31" i="19"/>
  <c r="K181" i="19"/>
  <c r="T181" i="19"/>
  <c r="Q181" i="19"/>
  <c r="N31" i="19"/>
  <c r="N181" i="19"/>
  <c r="S181" i="19"/>
  <c r="V181" i="19"/>
  <c r="V81" i="19"/>
  <c r="P181" i="19"/>
  <c r="S81" i="19"/>
  <c r="S231" i="19"/>
  <c r="V131" i="19"/>
  <c r="P231" i="19"/>
  <c r="S131" i="19"/>
  <c r="V231" i="19"/>
  <c r="V31" i="19"/>
  <c r="M181" i="19"/>
  <c r="J131" i="19"/>
  <c r="S31" i="19"/>
  <c r="P131" i="19"/>
  <c r="M81" i="19"/>
  <c r="M231" i="19"/>
  <c r="J231" i="19"/>
  <c r="J81" i="19"/>
  <c r="P81" i="19"/>
  <c r="M131" i="19"/>
  <c r="J181" i="19"/>
  <c r="P31" i="19"/>
  <c r="M31" i="19"/>
  <c r="K31" i="19"/>
  <c r="K7" i="19"/>
  <c r="K8" i="19"/>
  <c r="J31" i="19"/>
  <c r="AF14" i="1"/>
  <c r="AF11" i="1"/>
  <c r="AF82" i="1"/>
  <c r="AC15" i="1"/>
  <c r="AB15" i="1"/>
  <c r="AB12" i="1"/>
  <c r="AC12" i="1"/>
  <c r="AF83" i="1"/>
  <c r="AC7" i="1"/>
  <c r="X107" i="19" l="1"/>
  <c r="U57" i="19"/>
  <c r="X207" i="19"/>
  <c r="X57" i="19"/>
  <c r="U107" i="19"/>
  <c r="L57" i="19"/>
  <c r="R107" i="19"/>
  <c r="O157" i="19"/>
  <c r="X7" i="19"/>
  <c r="O107" i="19"/>
  <c r="R57" i="19"/>
  <c r="O7" i="19"/>
  <c r="X157" i="19"/>
  <c r="R207" i="19"/>
  <c r="L107" i="19"/>
  <c r="O57" i="19"/>
  <c r="U7" i="19"/>
  <c r="R7" i="19"/>
  <c r="U207" i="19"/>
  <c r="U157" i="19"/>
  <c r="L157" i="19"/>
  <c r="L207" i="19"/>
  <c r="R157" i="19"/>
  <c r="O207" i="19"/>
  <c r="X208" i="19"/>
  <c r="R208" i="19"/>
  <c r="R108" i="19"/>
  <c r="X158" i="19"/>
  <c r="U108" i="19"/>
  <c r="O58" i="19"/>
  <c r="R158" i="19"/>
  <c r="U8" i="19"/>
  <c r="O8" i="19"/>
  <c r="O208" i="19"/>
  <c r="O108" i="19"/>
  <c r="U158" i="19"/>
  <c r="O158" i="19"/>
  <c r="L208" i="19"/>
  <c r="U208" i="19"/>
  <c r="L158" i="19"/>
  <c r="X58" i="19"/>
  <c r="X8" i="19"/>
  <c r="L58" i="19"/>
  <c r="U58" i="19"/>
  <c r="R58" i="19"/>
  <c r="R8" i="19"/>
  <c r="L108" i="19"/>
  <c r="X108" i="19"/>
  <c r="L8" i="19"/>
  <c r="L7" i="19"/>
  <c r="AF15" i="1"/>
  <c r="AF12" i="1"/>
  <c r="AB10" i="1"/>
  <c r="S57" i="19" l="1"/>
  <c r="S7" i="19"/>
  <c r="P7" i="19"/>
  <c r="P157" i="19"/>
  <c r="V207" i="19"/>
  <c r="S157" i="19"/>
  <c r="J157" i="19"/>
  <c r="S207" i="19"/>
  <c r="M57" i="19"/>
  <c r="V57" i="19"/>
  <c r="P57" i="19"/>
  <c r="V107" i="19"/>
  <c r="M207" i="19"/>
  <c r="M7" i="19"/>
  <c r="P107" i="19"/>
  <c r="J107" i="19"/>
  <c r="S107" i="19"/>
  <c r="J57" i="19"/>
  <c r="J207" i="19"/>
  <c r="V157" i="19"/>
  <c r="V7" i="19"/>
  <c r="P207" i="19"/>
  <c r="M157" i="19"/>
  <c r="M107" i="19"/>
  <c r="J7" i="19"/>
  <c r="AF10" i="1"/>
  <c r="AC10" i="1"/>
  <c r="AB13" i="1" s="1"/>
  <c r="S108" i="19" l="1"/>
  <c r="S58" i="19"/>
  <c r="P58" i="19"/>
  <c r="V58" i="19"/>
  <c r="V8" i="19"/>
  <c r="V208" i="19"/>
  <c r="J108" i="19"/>
  <c r="J208" i="19"/>
  <c r="P108" i="19"/>
  <c r="S208" i="19"/>
  <c r="M58" i="19"/>
  <c r="V158" i="19"/>
  <c r="M108" i="19"/>
  <c r="J58" i="19"/>
  <c r="P208" i="19"/>
  <c r="M8" i="19"/>
  <c r="J158" i="19"/>
  <c r="M158" i="19"/>
  <c r="S8" i="19"/>
  <c r="V108" i="19"/>
  <c r="S158" i="19"/>
  <c r="P8" i="19"/>
  <c r="M208" i="19"/>
  <c r="P158" i="19"/>
  <c r="J8" i="19"/>
  <c r="AF13" i="1"/>
  <c r="AC13" i="1"/>
  <c r="P159" i="19" l="1"/>
  <c r="S9" i="19"/>
  <c r="J59" i="19"/>
  <c r="V209" i="19"/>
  <c r="M59" i="19"/>
  <c r="S59" i="19"/>
  <c r="M159" i="19"/>
  <c r="M109" i="19"/>
  <c r="S209" i="19"/>
  <c r="P59" i="19"/>
  <c r="P9" i="19"/>
  <c r="M9" i="19"/>
  <c r="V109" i="19"/>
  <c r="V159" i="19"/>
  <c r="J109" i="19"/>
  <c r="P209" i="19"/>
  <c r="P109" i="19"/>
  <c r="J159" i="19"/>
  <c r="S159" i="19"/>
  <c r="S109" i="19"/>
  <c r="M209" i="19"/>
  <c r="V59" i="19"/>
  <c r="V9" i="19"/>
  <c r="J209" i="19"/>
  <c r="J9" i="19"/>
  <c r="N7" i="1"/>
  <c r="O7" i="1" s="1"/>
  <c r="AX66" i="18" l="1"/>
  <c r="AN6" i="18"/>
  <c r="AN46" i="18"/>
  <c r="AX46" i="18"/>
  <c r="AD86" i="18"/>
  <c r="T66" i="18"/>
  <c r="AN26" i="18"/>
  <c r="AX86" i="18"/>
  <c r="AD66" i="18"/>
  <c r="AD46" i="18"/>
  <c r="AD26" i="18"/>
  <c r="T46" i="18"/>
  <c r="AX6" i="18"/>
  <c r="AN86" i="18"/>
  <c r="AN66" i="18"/>
  <c r="AD6" i="18"/>
  <c r="J46" i="18"/>
  <c r="J26" i="18"/>
  <c r="AX26" i="18"/>
  <c r="T86" i="18"/>
  <c r="J66" i="18"/>
  <c r="T6" i="18"/>
  <c r="T26" i="18"/>
  <c r="J86" i="18"/>
  <c r="J6" i="18"/>
  <c r="AE55" i="1"/>
  <c r="AD55" i="1" s="1"/>
  <c r="AE97" i="1"/>
  <c r="AD97" i="1" s="1"/>
  <c r="AE22" i="1"/>
  <c r="AD22" i="1" s="1"/>
  <c r="P7" i="1"/>
  <c r="Q7" i="1"/>
  <c r="V212" i="19" l="1"/>
  <c r="V62" i="19"/>
  <c r="S62" i="19"/>
  <c r="S212" i="19"/>
  <c r="V112" i="19"/>
  <c r="P212" i="19"/>
  <c r="S112" i="19"/>
  <c r="V12" i="19"/>
  <c r="V162" i="19"/>
  <c r="S12" i="19"/>
  <c r="P62" i="19"/>
  <c r="J112" i="19"/>
  <c r="M62" i="19"/>
  <c r="P112" i="19"/>
  <c r="M212" i="19"/>
  <c r="J212" i="19"/>
  <c r="J62" i="19"/>
  <c r="P162" i="19"/>
  <c r="M112" i="19"/>
  <c r="S162" i="19"/>
  <c r="P12" i="19"/>
  <c r="J162" i="19"/>
  <c r="M162" i="19"/>
  <c r="M12" i="19"/>
  <c r="V236" i="19"/>
  <c r="S36" i="19"/>
  <c r="S186" i="19"/>
  <c r="V86" i="19"/>
  <c r="S86" i="19"/>
  <c r="S236" i="19"/>
  <c r="P86" i="19"/>
  <c r="V186" i="19"/>
  <c r="V136" i="19"/>
  <c r="P236" i="19"/>
  <c r="S136" i="19"/>
  <c r="M36" i="19"/>
  <c r="M186" i="19"/>
  <c r="J136" i="19"/>
  <c r="V36" i="19"/>
  <c r="M86" i="19"/>
  <c r="P186" i="19"/>
  <c r="M236" i="19"/>
  <c r="J236" i="19"/>
  <c r="P136" i="19"/>
  <c r="J86" i="19"/>
  <c r="M136" i="19"/>
  <c r="J186" i="19"/>
  <c r="P36" i="19"/>
  <c r="V223" i="19"/>
  <c r="S73" i="19"/>
  <c r="S223" i="19"/>
  <c r="P73" i="19"/>
  <c r="V123" i="19"/>
  <c r="P223" i="19"/>
  <c r="S123" i="19"/>
  <c r="V23" i="19"/>
  <c r="P123" i="19"/>
  <c r="S23" i="19"/>
  <c r="V173" i="19"/>
  <c r="S173" i="19"/>
  <c r="M73" i="19"/>
  <c r="P173" i="19"/>
  <c r="M223" i="19"/>
  <c r="J73" i="19"/>
  <c r="M123" i="19"/>
  <c r="P23" i="19"/>
  <c r="J173" i="19"/>
  <c r="M23" i="19"/>
  <c r="M173" i="19"/>
  <c r="J123" i="19"/>
  <c r="V73" i="19"/>
  <c r="J223" i="19"/>
  <c r="J12" i="19"/>
  <c r="J36" i="19"/>
  <c r="J23" i="19"/>
  <c r="AF97" i="1"/>
  <c r="AF22" i="1"/>
  <c r="AF55" i="1"/>
  <c r="AE7" i="1"/>
  <c r="AD7" i="1" s="1"/>
  <c r="AE9" i="1"/>
  <c r="AD9" i="1" s="1"/>
  <c r="AE8" i="1"/>
  <c r="AD8" i="1" s="1"/>
  <c r="V206" i="19" l="1"/>
  <c r="V156" i="19"/>
  <c r="S6" i="19"/>
  <c r="S156" i="19"/>
  <c r="V56" i="19"/>
  <c r="S56" i="19"/>
  <c r="S206" i="19"/>
  <c r="V106" i="19"/>
  <c r="P206" i="19"/>
  <c r="S106" i="19"/>
  <c r="P106" i="19"/>
  <c r="M6" i="19"/>
  <c r="M156" i="19"/>
  <c r="P56" i="19"/>
  <c r="J106" i="19"/>
  <c r="P156" i="19"/>
  <c r="V6" i="19"/>
  <c r="M56" i="19"/>
  <c r="M206" i="19"/>
  <c r="J206" i="19"/>
  <c r="J56" i="19"/>
  <c r="J156" i="19"/>
  <c r="P6" i="19"/>
  <c r="M106" i="19"/>
  <c r="X206" i="19"/>
  <c r="X56" i="19"/>
  <c r="U56" i="19"/>
  <c r="U206" i="19"/>
  <c r="X106" i="19"/>
  <c r="R206" i="19"/>
  <c r="U106" i="19"/>
  <c r="X6" i="19"/>
  <c r="X156" i="19"/>
  <c r="U6" i="19"/>
  <c r="R56" i="19"/>
  <c r="L106" i="19"/>
  <c r="O56" i="19"/>
  <c r="O206" i="19"/>
  <c r="L206" i="19"/>
  <c r="L56" i="19"/>
  <c r="U156" i="19"/>
  <c r="O106" i="19"/>
  <c r="R106" i="19"/>
  <c r="R156" i="19"/>
  <c r="R6" i="19"/>
  <c r="L156" i="19"/>
  <c r="O156" i="19"/>
  <c r="O6" i="19"/>
  <c r="T156" i="19"/>
  <c r="W56" i="19"/>
  <c r="Q156" i="19"/>
  <c r="W206" i="19"/>
  <c r="T56" i="19"/>
  <c r="T206" i="19"/>
  <c r="W106" i="19"/>
  <c r="Q206" i="19"/>
  <c r="T106" i="19"/>
  <c r="W6" i="19"/>
  <c r="N156" i="19"/>
  <c r="T6" i="19"/>
  <c r="Q56" i="19"/>
  <c r="N56" i="19"/>
  <c r="W156" i="19"/>
  <c r="N206" i="19"/>
  <c r="K206" i="19"/>
  <c r="K56" i="19"/>
  <c r="N106" i="19"/>
  <c r="N6" i="19"/>
  <c r="Q6" i="19"/>
  <c r="Q106" i="19"/>
  <c r="K156" i="19"/>
  <c r="K106" i="19"/>
  <c r="K6" i="19"/>
  <c r="L6" i="19"/>
  <c r="J6" i="19"/>
  <c r="AF9" i="1"/>
  <c r="AF8" i="1"/>
  <c r="AF7" i="1"/>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<sst xmlns="http://schemas.openxmlformats.org/spreadsheetml/2006/main" count="1533" uniqueCount="611">
  <si>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</si>
  <si>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</si>
  <si>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</si>
  <si>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</si>
  <si>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</si>
  <si>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</si>
  <si>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</si>
  <si>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</si>
  <si>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</si>
  <si>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</si>
  <si>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</si>
  <si>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</si>
  <si>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</si>
  <si>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</si>
  <si>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</si>
  <si>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</si>
  <si>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</si>
  <si>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</si>
  <si>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</si>
  <si>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</si>
  <si>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</si>
  <si>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</si>
  <si>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</si>
  <si>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</si>
  <si>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</si>
  <si>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</si>
  <si>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</si>
  <si>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</si>
  <si>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</si>
  <si>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</si>
  <si>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</si>
  <si>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</si>
  <si>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</si>
  <si>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</si>
  <si>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</si>
  <si>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</si>
  <si>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</si>
  <si>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</si>
  <si>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</si>
  <si>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</si>
  <si>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</si>
  <si>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</si>
  <si>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</si>
  <si>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</si>
  <si>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</si>
  <si>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</si>
  <si>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</si>
  <si>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</si>
  <si>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</si>
  <si>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</si>
  <si>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</si>
  <si>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</si>
  <si>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</si>
  <si>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</si>
  <si>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</si>
  <si>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</si>
  <si>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</si>
  <si>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</si>
  <si>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</si>
  <si>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</si>
  <si>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</si>
  <si>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</si>
  <si>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</si>
  <si>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</si>
  <si>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</si>
  <si>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</si>
  <si>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</si>
  <si>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</si>
  <si>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</si>
  <si>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</si>
  <si>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</si>
  <si>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</si>
  <si>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</si>
  <si>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</si>
  <si>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</si>
  <si>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</si>
  <si>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</si>
  <si>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</si>
  <si>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</si>
  <si>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</si>
  <si>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</si>
  <si>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</si>
  <si>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</si>
  <si>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</si>
  <si>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</si>
  <si>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</si>
  <si>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</si>
  <si>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</si>
  <si>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</si>
  <si>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</si>
  <si>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</si>
  <si>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</si>
  <si>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</si>
  <si>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</si>
  <si>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</si>
  <si>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</si>
  <si>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</si>
  <si>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</si>
  <si>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</si>
  <si>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</si>
  <si>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</si>
  <si>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</si>
  <si>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</si>
  <si>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</si>
  <si>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</si>
  <si>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</si>
  <si>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</si>
  <si>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</si>
  <si>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</si>
  <si>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</si>
  <si>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</si>
  <si>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</si>
  <si>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</si>
  <si>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</si>
  <si>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</si>
  <si>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</si>
  <si>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</si>
  <si>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</si>
  <si>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</si>
  <si>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</si>
  <si>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</si>
  <si>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</si>
  <si>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</si>
  <si>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</si>
  <si>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</si>
  <si>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</si>
  <si>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</si>
  <si>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</si>
  <si>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</si>
  <si>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</si>
  <si>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</si>
  <si>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</si>
  <si>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</si>
  <si>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</si>
  <si>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</si>
  <si>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</si>
  <si>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</si>
  <si>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</si>
  <si>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</si>
  <si>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</si>
  <si>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</si>
  <si>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</si>
  <si>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</si>
  <si>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</si>
  <si>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</si>
  <si>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</si>
  <si>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</si>
  <si>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</si>
  <si>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</si>
  <si>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</si>
  <si>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</si>
  <si>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</si>
  <si>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</si>
  <si>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</si>
  <si>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</si>
  <si>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</si>
  <si>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</si>
  <si>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</si>
  <si>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</si>
  <si>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</si>
  <si>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</si>
  <si>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</si>
  <si>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</si>
  <si>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</si>
  <si>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</si>
  <si>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</si>
  <si>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</si>
  <si>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</si>
  <si>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</si>
  <si>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</si>
  <si>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</si>
  <si>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</si>
  <si>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</si>
  <si>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</si>
  <si>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</si>
  <si>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</si>
  <si>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</si>
  <si>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</si>
  <si>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</si>
  <si>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</si>
  <si>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</si>
  <si>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</si>
  <si>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</si>
  <si>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</si>
  <si>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</si>
  <si>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</si>
  <si>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</si>
  <si>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</si>
  <si>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</si>
  <si>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</si>
  <si>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</si>
  <si>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</si>
  <si>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</si>
  <si>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</si>
  <si>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</si>
  <si>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</si>
  <si>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</si>
  <si>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</si>
  <si>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</si>
  <si>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</si>
  <si>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</si>
  <si>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</si>
  <si>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</si>
  <si>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</si>
  <si>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</si>
  <si>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</si>
  <si>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</si>
  <si>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</si>
  <si>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</si>
  <si>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</si>
  <si>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</si>
  <si>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</si>
  <si>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</si>
  <si>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</si>
  <si>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</si>
  <si>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</si>
  <si>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</si>
  <si>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</si>
  <si>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</si>
  <si>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</si>
  <si>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</si>
  <si>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</si>
  <si>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</si>
  <si>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</si>
  <si>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</si>
  <si>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</si>
  <si>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</si>
  <si>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</si>
  <si>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</si>
  <si>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</si>
  <si>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</si>
  <si>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</si>
  <si>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</si>
  <si>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</si>
  <si>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</si>
  <si>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</si>
  <si>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</si>
  <si>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</si>
  <si>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Posibilidad de aceptar o solicitar dádivas para recibir parcial y/o final un producto u obra sin el cumplimiento de los requisitos técnicos.</t>
  </si>
  <si>
    <t>Continuo</t>
  </si>
  <si>
    <t xml:space="preserve">Multas, sanciones o demandas
</t>
  </si>
  <si>
    <t xml:space="preserve">
Demoras en la entrega de las obras de urbanismo
</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</si>
  <si>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</si>
  <si>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</si>
  <si>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</si>
  <si>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</si>
  <si>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</si>
  <si>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</si>
  <si>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</si>
  <si>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</si>
  <si>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</si>
  <si>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</si>
  <si>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</si>
  <si>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</si>
  <si>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</si>
  <si>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</si>
  <si>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</si>
  <si>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</si>
  <si>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</si>
  <si>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</si>
  <si>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</si>
  <si>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</si>
  <si>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</si>
  <si>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</si>
  <si>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</si>
  <si>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</si>
  <si>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</si>
  <si>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</si>
  <si>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</si>
  <si>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</si>
  <si>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</si>
  <si>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</si>
  <si>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</si>
  <si>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</si>
  <si>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</si>
  <si>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</si>
  <si>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</si>
  <si>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</si>
  <si>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extracción de documentos durante el proceso de atención de interesados.</t>
  </si>
  <si>
    <t>Desconocimiento en el uso de información sensible.</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</si>
  <si>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</si>
  <si>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</si>
  <si>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</si>
  <si>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</si>
  <si>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</si>
  <si>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Gestión Documental</t>
  </si>
  <si>
    <t>Enero</t>
  </si>
  <si>
    <t>Diciembre</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</si>
  <si>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</si>
  <si>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</si>
  <si>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</si>
  <si>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</si>
  <si>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</si>
  <si>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</si>
  <si>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</si>
  <si>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</si>
  <si>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</si>
  <si>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</si>
  <si>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</si>
  <si>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</si>
  <si>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</si>
  <si>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</si>
  <si>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</si>
  <si>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</si>
  <si>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</si>
  <si>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</si>
  <si>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</si>
  <si>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</si>
  <si>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</si>
  <si>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</si>
  <si>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</si>
  <si>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</si>
  <si>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</si>
  <si>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</si>
  <si>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</si>
  <si>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</si>
  <si>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</si>
  <si>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</si>
  <si>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</si>
  <si>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</si>
  <si>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</si>
  <si>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</si>
  <si>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</si>
  <si>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</si>
  <si>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</si>
  <si>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1. Establecer el ranking de auditores para valorar el desempeño del auditor.
2. Realizar el análisis semestral del estado de adopción y efectividad de las recomendaciones surtidas en los informes legales, se seguimiento o de auditoria.</t>
  </si>
  <si>
    <t>2. Realizar ejercicios de capacitación y referenciación para reconocer las tendencias y buenas prácticas en el ejercicio de la auditoria interna.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</si>
  <si>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</si>
  <si>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</si>
  <si>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</si>
  <si>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</si>
  <si>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Sustracción, alteración o inclusión de documentos en los expedientes documentales que se encuentran en custodia del proceso para beneficiar a terceros.</t>
  </si>
  <si>
    <t>Detective</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</si>
  <si>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</si>
  <si>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</si>
  <si>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</si>
  <si>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</si>
  <si>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</si>
  <si>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</si>
  <si>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</si>
  <si>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</si>
  <si>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</si>
  <si>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</si>
  <si>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</si>
  <si>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</si>
  <si>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</si>
  <si>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</si>
  <si>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</si>
  <si>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</si>
  <si>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</si>
  <si>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</si>
  <si>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</si>
  <si>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</si>
  <si>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</si>
  <si>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</si>
  <si>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Gestionar la elaboración de los estudios, diseños técnicos y urbanísticos; ejecutar las obras de urbanismo y construcción necesarias para el desarrollo de los proyectos de la empresa y entregar las cesiones públicas a empresas de servicios públicos, IDU, IDRD y al DADEP.</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</si>
  <si>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</si>
  <si>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</si>
  <si>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</si>
  <si>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</si>
  <si>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</si>
  <si>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</si>
  <si>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</si>
  <si>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</si>
  <si>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Presiones de grupos de interés.</t>
  </si>
  <si>
    <t>Debilidad en los controles establecidos.</t>
  </si>
  <si>
    <t>Informar a las instancias internas y externas de control que corresponda.</t>
  </si>
  <si>
    <t>Incumplimiento de los requisitos técnicos.</t>
  </si>
  <si>
    <t>Realizar visita técnica a la obra y/o registro fotográfico y/o Acta de reunión por parte del Supervisor.</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</si>
  <si>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</si>
  <si>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</si>
  <si>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</si>
  <si>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</si>
  <si>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</si>
  <si>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</si>
  <si>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</si>
  <si>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</si>
  <si>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</si>
  <si>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</si>
  <si>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</si>
  <si>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</si>
  <si>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</si>
  <si>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</si>
  <si>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</si>
  <si>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</si>
  <si>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</si>
  <si>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</si>
  <si>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</si>
  <si>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</si>
  <si>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</si>
  <si>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</si>
  <si>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</si>
  <si>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</si>
  <si>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</si>
  <si>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</si>
  <si>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</si>
  <si>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</si>
  <si>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</si>
  <si>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</si>
  <si>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</si>
  <si>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</si>
  <si>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</si>
  <si>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</si>
  <si>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</si>
  <si>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</si>
  <si>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</si>
  <si>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</si>
  <si>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</si>
  <si>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</si>
  <si>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</si>
  <si>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</si>
  <si>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</si>
  <si>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</si>
  <si>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</si>
  <si>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</si>
  <si>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</si>
  <si>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</si>
  <si>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</si>
  <si>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</si>
  <si>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</si>
  <si>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</si>
  <si>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</si>
  <si>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</si>
  <si>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</si>
  <si>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</si>
  <si>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</si>
  <si>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</si>
  <si>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</si>
  <si>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</si>
  <si>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</si>
  <si>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</si>
  <si>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</si>
  <si>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</si>
  <si>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</si>
  <si>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</si>
  <si>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</si>
  <si>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</si>
  <si>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</si>
  <si>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Generación de alertas inoportunas.</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</si>
  <si>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</si>
  <si>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</si>
  <si>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</si>
  <si>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</si>
  <si>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</si>
  <si>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</si>
  <si>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</si>
  <si>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No contar con los contratos que suministren bienes y servicios para la gestión y funcionamiento de la Empresa.</t>
  </si>
  <si>
    <t>Seguimiento inadecuado en los préstamos documentales y consultas en sala.</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</si>
  <si>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</si>
  <si>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</si>
  <si>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</si>
  <si>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</si>
  <si>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</si>
  <si>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</si>
  <si>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</si>
  <si>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</si>
  <si>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</si>
  <si>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</si>
  <si>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</si>
  <si>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</si>
  <si>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</si>
  <si>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</si>
  <si>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</si>
  <si>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</si>
  <si>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</si>
  <si>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</si>
  <si>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</si>
  <si>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</si>
  <si>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</si>
  <si>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</si>
  <si>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</si>
  <si>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</si>
  <si>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Falta de conocimiento frente a la norma, la política y al manejo de las PQRS.</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</si>
  <si>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</si>
  <si>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</si>
  <si>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</si>
  <si>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</si>
  <si>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</si>
  <si>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</si>
  <si>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</si>
  <si>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1. Gestionar el plan de mejoramiento producto de los resultados de la auditoría externa de pares realizada en la vigencia 2021 con el objeto de evaluar el estado de desempeño del proceso de Evaluación y Seguimiento de la Empresa.</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</si>
  <si>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</si>
  <si>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</si>
  <si>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</si>
  <si>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</si>
  <si>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</si>
  <si>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</si>
  <si>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</si>
  <si>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</si>
  <si>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</si>
  <si>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</si>
  <si>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</si>
  <si>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</si>
  <si>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</si>
  <si>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</si>
  <si>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</si>
  <si>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</si>
  <si>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</si>
  <si>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</si>
  <si>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</si>
  <si>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</si>
  <si>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</si>
  <si>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</si>
  <si>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</si>
  <si>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</si>
  <si>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</si>
  <si>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</si>
  <si>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</si>
  <si>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Asistencia Reunión de Apertura) </t>
  </si>
  <si>
    <t>Realizar socialización del Estatuto y Código de Ética de Auditoria a los Auditores mínimo una vez año.</t>
  </si>
  <si>
    <t>3. Documentar dentro del estatuto de auditoría los lineamientos en materia de protección y uso no autorizado de la información obtenida durante el ejercicio de auditoría y 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</si>
  <si>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</si>
  <si>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</si>
  <si>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</si>
  <si>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</si>
  <si>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</si>
  <si>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</si>
  <si>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</si>
  <si>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</si>
  <si>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t>Planeación y Seguimiento Integral de Proyectos</t>
  </si>
  <si>
    <t>Realizar el seguimiento integral a los proyectos urbanos verificando su ejecución de acuerdo con los objetivos y la misionalidad de la empresa a partir de las diferentes etapas y fases definidas.</t>
  </si>
  <si>
    <t>Inicia con la verificación y actualización del inventario de proyectos, comprende la administración del instrumento de seguimiento, generación de alertas, custodia a la información y finaliza con la gestión de informes para toma de decisiones.</t>
  </si>
  <si>
    <r>
      <t xml:space="preserve">Actualizar el procedimiento </t>
    </r>
    <r>
      <rPr>
        <i/>
        <sz val="10"/>
        <color theme="1"/>
        <rFont val="Arial Narrow"/>
        <family val="2"/>
      </rPr>
      <t>"Modelaciones Financieras de los Proyectos"</t>
    </r>
    <r>
      <rPr>
        <sz val="10"/>
        <color theme="1"/>
        <rFont val="Arial Narrow"/>
        <family val="2"/>
      </rPr>
      <t>, con el propósito de documentar los controles establecidos.</t>
    </r>
  </si>
  <si>
    <t>Incumplimiento en la oportunidad de las respuestas</t>
  </si>
  <si>
    <t>falta de atención al requerimiento por las áreas técnicas</t>
  </si>
  <si>
    <t>Afectación reputacional debido al incumplimiento en la generación de respuestas de PQRS por falta de atención oportuna a las mismas.</t>
  </si>
  <si>
    <t>Mapa Riesgos Institucional Empresa de Renovación y Desarrollo Urbano de Bogotá - 2022</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</si>
  <si>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</si>
  <si>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Cada vez que exista una capacitación superior a 8 horas</t>
  </si>
  <si>
    <t>Posibilidad de impacto económico y reputacional por la pérdida de los activos fijos de la Empresa por falta de controles, seguimientos de los mismos y no contar con la ubicación y el responsable de los activos fijos.</t>
  </si>
  <si>
    <t>Pérdida de los activos fijos de la Empresa</t>
  </si>
  <si>
    <t>Falta de controles, seguimientos de los mismos y no contar con la ubicación y el responsable de los activos fijos.</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</si>
  <si>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</si>
  <si>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La Subgerencia de Gestión Corporativa envía comunicados a través del correo institucional recordando los lineamientos establecidos para un adecuado uso de los elementos asignados, mínimo dos veces al año.</t>
  </si>
  <si>
    <t>El profesional de recursos físicos mensualmente realiza el seguimiento al plan de adquisiciones y plan de contratación de Gestión de Servicios Logísticos para adelantar los procesos contractuales que se requieren conforme a las necesidades evidenciadas para el normal funcionamiento de la empresa, en este mismo sentido El/La Subgerente de Gestión Corporativa y/o el apoyo que se designe para la supervisión, realiza de manera mensual la el seguimiento administrativo, técnico, jurídico y financiero  a los contratos suscritos para la adquisición de los bienes y servicios de la Empresa, dejando como evidencia los informes a la ejecución del contrato donde se detalla su cumplimiento para el trámite de los pagos correspondientes. En caso de presentarse novedades se requiere al contratista de acuerdo con los lineamientos establecidos por el manual de supervisión de la Empresa.</t>
  </si>
  <si>
    <t>La Subgerencia de Gestión Corporativa realiza reuniones con los contratistas de servicios logísticos por lo menos una vez al mes para hacer seguimiento y control a las obligaciones y servicios contratados.</t>
  </si>
  <si>
    <t>Informar al jefe del área, para tomar las medidas pertinentes con el fin de cubrir los bienes y servicios que no se encuentran en el Plan Anual de Adquisiciones.
Hacer efectivas las garantías contractuales especificadas en cada uno de los contratos.</t>
  </si>
  <si>
    <t>Posibilidad de que, por acción u omisión, se use el poder para la destinación de Recursos Públicos de forma indebida en favor de un privado o tercero.</t>
  </si>
  <si>
    <t>Amiguismo Fenecimiento o recepción de dádivas, Incumplimiento del código de ética.</t>
  </si>
  <si>
    <t>Los profesionales de la Subgerencia de Gestión Corporativa al inicio de cada vigencia solicita a las dependencias reportar los bienes y servicios requeridos para la operación de cada proceso. Este listado es revisado y validado para garantizar que cumpla con los lineamientos establecidos por el proceso de Gestión Contractual. En caso de encontrar bienes y servicios que no cumplan con dichos requerimientos, se valida su pertinencia con la dependencia para determinar si es necesaria la compra del mismo o de un bien o servicio substituto.
Es de anotar, que la contratación de bienes y servicios es presentada al Comité de Contratación para su revisión y aprobación; y cuando se presentan observaciones, el equipo de trabajo de las áreas que intervienen en los procesos contractuales deben realizar los ajustes correspondientes.</t>
  </si>
  <si>
    <t>La Subgerencia de Gestión Corporativa envía comunicados a través del correo institucional socializando los principios y valores éticos (integridad), mínimo dos veces al año.</t>
  </si>
  <si>
    <t>Informa a las instancias de Control Interno correspondientes.</t>
  </si>
  <si>
    <t>Hacer la reposición del bien a través de la compañía de seguros e informar a las instancias de Control Interno correspondientes.</t>
  </si>
  <si>
    <t>Anualmente y previo a la aprobación del Plan de Acción Institucional de cada vigencia, a través de los medios de comunicación interna y externa, se invita a participar en la construcción del Plan de la Empresa, para que los servidores públicos, los contratistas, la ciudadanía y las demás partes interesadas conozcan, debatan, formulen apreciaciones, sugerencias y propuestas sobre el proyecto del Plan.
De igual manera, el seguimiento al Plan se publica de manera cuatrimestral en la eruNET y página web de la Empresa.</t>
  </si>
  <si>
    <t>Posibilidad de que por acción u omisión haya priorización de planes, programas o proyectos de inversión o de toma de decisiones para favorecer intereses particulares.</t>
  </si>
  <si>
    <t>Posibilidad de aceptar o solicitar dádivas para estructurar documentos técnicos preliminares orientados a un interés particular.</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</si>
  <si>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ésta a su vez del cumplimiento de las obligaciones del consultor o constructor.</t>
  </si>
  <si>
    <t xml:space="preserve">La Jefe de la Oficina de Gestión Social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</si>
  <si>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Debilidad en la aplicación de controles a las operaciones financieras.</t>
  </si>
  <si>
    <t>Posibilidad de que por acción u omisión haya favorecimiento a terceros en los procesos de comercialización.</t>
  </si>
  <si>
    <r>
      <rPr>
        <b/>
        <sz val="10"/>
        <rFont val="Arial Narrow"/>
        <family val="2"/>
      </rPr>
      <t>RIESGO ASOCIADO A TRÁMITES:</t>
    </r>
    <r>
      <rPr>
        <sz val="10"/>
        <rFont val="Arial Narrow"/>
        <family val="2"/>
      </rPr>
      <t xml:space="preserve">
Posibilidad de aceptar o solicitar dádivas de los ciudadanos para la asesoría del trámite "Cumplimiento de la obligación VIS-VIP a través de compensación económica".</t>
    </r>
  </si>
  <si>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y validación a las asesorías brindadas, para determinar el servicio brindado y en caso de encontrar alguna situación, informar al jefe inmediato.</t>
  </si>
  <si>
    <t>Posibilidad de que por acción u omisión haya pérdida de la confidencialidad de la información obtenida para la ejecución de los trabajos de auditoría debido a debilidades en los mecanismos de control para su protección y resguardo.</t>
  </si>
  <si>
    <t xml:space="preserve">Cada vez que se ejecuta un trabajo de auditoria, el auditor líder compila la información insumo resultante del trabajo de auditoría en un drive asociado al correo de la Jefe de la Oficina de Control Interno para su protección y resguardo, quien verifica su contenido, a lo cual el proceso Gestión de TIC realiza el backup respectiva. </t>
  </si>
  <si>
    <t>Informar al jefe inmediato para dar lineamientos.
Garantizar el profesional idóneo para la formulación e implementación del plan de SST.</t>
  </si>
  <si>
    <t>Realizar seguimiento a alertas y avance de los proyectos, en la instancia de seguimiento "Comité de Proyectos".</t>
  </si>
  <si>
    <t>Inadecuado cumplimiento de los lineamientos para el diligenciamiento de la matriz de seguimiento, en su veracidad y oportunidad por parte de los lideres de proyecto que permitan la generación de alertas.</t>
  </si>
  <si>
    <t>Posibilidad de afectación reputacional por la generación de alertas inoportunas debido a un inadecuado cumplimiento de los lineamientos para el diligenciamiento de la matriz de seguimiento, en su veracidad y oportunidad por parte de los lideres de proyecto que permitan la generación de alertas.</t>
  </si>
  <si>
    <t>Los profesionales de la Subgerencia de Planeación y Administración de Proyectos verifican semanalmente la información en la Matriz de Seguimiento, garantizando su veracidad de acuerdo al cronograma Línea Base.
Si hay información pendiente por actualizar, se solicita por correo electrónico al líder del proyecto, realizar el ajuste correspondiente en la Matriz de Seguimiento en el siguiente corte. Dicha información es utilizada para la generación de alertas y reportes que se requieran por parte de los grupos de interés.</t>
  </si>
  <si>
    <t>Conciliar Plan de Contingencia con los miembros del Comité de Proyectos.</t>
  </si>
  <si>
    <t>Posibilidad de que por acción u omisión se efectúen operaciones de salida de recursos o inversiones sin autorización, para beneficio propio o de terceros.</t>
  </si>
  <si>
    <r>
      <t xml:space="preserve">Los funcionarios de la Empresa cada vez que asisten a una capacitación superior a 8 horas deben ejecutar el Plan Padrino definido en la </t>
    </r>
    <r>
      <rPr>
        <b/>
        <i/>
        <sz val="10"/>
        <color theme="1"/>
        <rFont val="Arial Narrow"/>
        <family val="2"/>
      </rPr>
      <t>GI-35 Guía para implementar el programa Plan Padrino Entornos Enseñar - Aprender</t>
    </r>
    <r>
      <rPr>
        <sz val="10"/>
        <color theme="1"/>
        <rFont val="Arial Narrow"/>
        <family val="2"/>
      </rPr>
      <t>, como evidencia  de su ejecución se realiza el envió a la Subgerencia de Gestión Corporativa del formato</t>
    </r>
    <r>
      <rPr>
        <i/>
        <sz val="10"/>
        <color theme="1"/>
        <rFont val="Arial Narrow"/>
        <family val="2"/>
      </rPr>
      <t xml:space="preserve"> FT- 141 Evaluación de las actividades de capacitación</t>
    </r>
    <r>
      <rPr>
        <sz val="10"/>
        <color theme="1"/>
        <rFont val="Arial Narrow"/>
        <family val="2"/>
      </rPr>
      <t xml:space="preserve"> o la Encuesta de satisfacción de programas de capacitación de Google Forms que se remite vía correo electrónico.
Así mismo, treinta (30) días hábiles posteriores a la culminación del Plan Padrino, los apadrinados y sus jefes inmediatos que pertenecen a la planta de personal de la Empresa, diligencian el formato </t>
    </r>
    <r>
      <rPr>
        <i/>
        <sz val="10"/>
        <color theme="1"/>
        <rFont val="Arial Narrow"/>
        <family val="2"/>
      </rPr>
      <t>FT-142 Medición de impacto de la capacitación</t>
    </r>
    <r>
      <rPr>
        <sz val="10"/>
        <color theme="1"/>
        <rFont val="Arial Narrow"/>
        <family val="2"/>
      </rPr>
      <t xml:space="preserve"> y lo remiten a la Subgerencia de Gestión Corporativa.</t>
    </r>
  </si>
  <si>
    <t>Posibilidad de que, por acción u omisión, se use el poder para manipular de manera indebida los procesos judiciales para favorecer un interés particular.</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</si>
  <si>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 Las decisiones tomadas quedan registradas en las actas de seguimiento a los procesos judiciales donde se plasma la estrategia del abogado y las demás recomendaciones de sus compañeros.</t>
  </si>
  <si>
    <t>El Dependiente Judicial realiza control y vigilancia a los procesos judiciales a través de la Matriz de Seguimiento, en la cual se dejan las alertas que correspondan como insumo para los apoderados.</t>
  </si>
  <si>
    <t>Los abogados deben cargar las fichas y las actas del Comité de Defensa Judicial, Conciliación y Repetición al SIPROJ WEB.</t>
  </si>
  <si>
    <t>Revisión del estado general de los procesos dentro del Comité de Autoevaluación.</t>
  </si>
  <si>
    <t>Posibilidad de que, por acción u omisión, se use el poder para sustraer, incluir y/o adulterar documentos en los expedientes (misionales y de gestión) en beneficio de terceros.</t>
  </si>
  <si>
    <t xml:space="preserve">El Técnico de Gestión Documenta realiza capacitaciones a los colaboradores del proceso de Gestión Documental con respecto al cumplimiento del procedimiento de préstamo y consulta documental. </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</si>
  <si>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</si>
  <si>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Posibilidad de que por acción, omisión o abuso de poder, se profieran decisiones a favor o en contra de los sujetos procesales en beneficio propio o de terceros.</t>
  </si>
  <si>
    <t>Posibilidad de afectación reputacional por la materialización de la figura jurídica de la prescripción establecida en la ley, debido a debilidades en el debido control de los términos que permita que se tomen las decisiones de fondo en los plazos establecidos.</t>
  </si>
  <si>
    <t>Mensualmente se realizan reuniones donde se actualiza el archivo de seguimiento disponible en Drive con las actuaciones realizadas en el mes y se verifican los términos.</t>
  </si>
  <si>
    <t>Contribuir al fortalecimiento y protección de los principios de la función pública a través de la generación de actividades de prevención en materia disciplinaria, así como adelantar las actuaciones administrativas a los servidores y exservidores públicos de la Empresa, cuando incurran en conductas que puedan constituir faltas disciplinarias de conformidad con lo establecido en la normatividad vigente.</t>
  </si>
  <si>
    <t>Control Interno Disciplinario</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</si>
  <si>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</si>
  <si>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Materialización de la figura jurídica de la prescripción establecida en la ley.</t>
  </si>
  <si>
    <t>Debilidades en el debido control de los términos que permita que se tomen las decisiones de fondo en los plazos establecidos.</t>
  </si>
  <si>
    <t>Presiones indebidas por un tercero o un superior jerárquico.
Recibir o solicitar dádivas o beneficios a nombre propio o de un tercero.</t>
  </si>
  <si>
    <t>Interés particular del servidor público.</t>
  </si>
  <si>
    <t>Elaborar un informe para ser enviado al superior jerárquico o al ente de control competente, dependiendo de la naturaleza del cargo.</t>
  </si>
  <si>
    <t>En cada etapa de la instrucción la Abogada sustanciadora verifica los términos establecidos en la ley en el archivo de seguimiento disponible en Drive y a partir de ello, proyecta las decisiones las cuales son entregadas al Jefe de la Oficina de Control Disciplinario Interno, quien verifica los términos y las decisiones a tomar de acuerdo a la norma. En caso de encontrar prescripciones se toma la decisión de terminar el proceso a través de auto.</t>
  </si>
  <si>
    <t>Posibilidad de que, por acción u omisión, se use el poder para uso indebido de información privilegiada para favorecimiento de un interés particular.</t>
  </si>
  <si>
    <t>Cada vez que se requiera, el Equipo de Estudios Previos realiza la revisión del anexo técnico aportado por el área generadora de la necesidad del proceso de contratación y elabora los documentos técnicos (Estudios previos, Anexo económico y matriz de riesgos),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y aval inicial previos al Comité de Contratación. El Subgerente de Desarrollo de Proyectos realiza la radicación de los documentos de estudios previos a la Dirección de Gestión Contractual, solicitando agendamiento del comité de contratación y adelantar el proceso de selección correspondiente.
Luego, la Dirección de Gestión Contractual presenta el proyecto para recomendación del Comité de Contratación, se atienden las observaciones (cuando aplique) y finalmente la Dirección de Gestión Contractual elabora los términos de referencia correspondientes. Si el proceso se debe adelantar con recursos de Fiducia, se presenta al Comité Fiduciario para aprobación. Una vez aprobado por este Comité se remite al área jurídica de la Fiducia para revisión de los términos de referencia y posterior publicación por parte de la DGC en SECOP II.</t>
  </si>
  <si>
    <t>Socializar el riesgo identificado de corrupción, los controles establecidos en el procedimiento PD-95 Estructuración del proceso de selección de contratistas para los proyectos que adelante la Empresa, la Política operativa de Integridad, Conflicto de Intereses y Gestión Anti soborno y el Código de Integridad.</t>
  </si>
  <si>
    <t>Posibilidad de que, por acción u omisión, haya uso indebido de información privilegiada para favorecimiento de un interés particular.</t>
  </si>
  <si>
    <t>Cada vez que se requiere llevar a cabo una contratación, el abogado de la Subgerencia de Gestión Urbana, verifica que en los contratos de prestación de servicios se incluya la cláusula de confidencialidad en cada uno, con el fin de dar un manejo adecuado de la información por parte de los contratistas, y en caso de no encontrarla, se solicita su incorporación a la Dirección de Gestión Contractual.
El Subgerente de Gestión Urbana de manera permanente ejerce la supervisión en las diferentes actividades que se adelantan en la Subgerencia por parte de los contratistas, en las que se pueden identificar situaciones que generen riesgo en el manejo de información privilegiada del área. En caso de encontrar inconsistencias se reportan las alarmas a los organismos de Control Interno y externo correspondiente, absteniéndose de emitir el Certificado de Cumplimiento.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y externo correspondiente.</t>
  </si>
  <si>
    <t>Si se encuentran inconsistencias se reportan las alarmas al supervisor del contrato y se informa la situación a los organismos de control interno y externo correspondiente.</t>
  </si>
  <si>
    <r>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t>
    </r>
    <r>
      <rPr>
        <i/>
        <sz val="10"/>
        <color theme="1"/>
        <rFont val="Arial Narrow"/>
        <family val="2"/>
      </rPr>
      <t xml:space="preserve"> FT-111 Registro Préstamo de Documentos</t>
    </r>
    <r>
      <rPr>
        <sz val="10"/>
        <color theme="1"/>
        <rFont val="Arial Narrow"/>
        <family val="2"/>
      </rPr>
      <t>.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r>
  </si>
  <si>
    <t>La Gestora del Sistema de Información de Procesos Judiciales SIPROJ verifica mensualmente que los abogados, una vez se genere cualquier actuación judicial, actualicen el SIPROJ adjuntando la respectiva documentación. En caso de encontrar desviaciones se solicita la actualización inmediata de la información a través de correo electrónico.</t>
  </si>
  <si>
    <t>Al inicio de cada vigencia el Gestor Senior 1 y el delegado para la empresa ante la Alcaldía Mayor de Bogotá,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</si>
  <si>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A demanda</t>
  </si>
  <si>
    <t>El Gestor Senior 1 de atención al ciudadano cada vez que ingresa un colaborador genera la inducción en las temáticas de Atención al Ciudadano, resultado de esta reunión quedan las grabaciones y las listas de asistencia.</t>
  </si>
  <si>
    <t>El Servidor del punto de contacto envía al profesional de Atención al Ciudadano al finalizar el mes el reporte de las quejas y reclamos, para que sea incorporado en el registro en la Matriz de seguimiento a quejas y reclamos y de acuerdo con la magnitud de la queja o reclamo los mismos son elevados al Comité Institucional de Gestión y Desempeño. De otra parte, el profesional Gestor 1 de Atención al Ciudadano realiza el alcance al seguimiento del informe mensual de calidad en las respuestas emitido por la Alcaldía Mayor de Bogotá, mediante comunicado interno informando el incumplimiento en los criterios de la oportunidad, calidez, la calidad, coherencia y manejo del sistema, PQRS, a las áreas solicitando un plan de mejoramiento, en los casos que corresponda.</t>
  </si>
  <si>
    <t>Realizar jornadas de reinducción y capacitación del manejo del sistema Bogotá te escucha.</t>
  </si>
  <si>
    <t>Cada vez que se inicia una indagación previa se verifican las pruebas existentes y la Abogada sustanciadora proyecta el auto de apertura de investigación disciplinaria, posteriormente de acuerdo a los términos y con base en las pruebas que hayan sido allegadas dentro de los expedientes disciplinarios por las áreas o entidades a las que se les solicitó, se elabora pliego de cargos o el auto de terminación y archivo correspondiente y lo entrega al Jefe de la Oficina de Control Disciplinario Interno, quien verifica el sentido del acto administrativo con fundamento en la documentación entregada y determina si está ajustada o no la decisión a derecho.</t>
  </si>
  <si>
    <t>Mensualmente se realizan reuniones donde se revisan los expedientes priorizados en los que el recaudo de pruebas se haya finalizado, llegando a un acuerdo respecto de la decisión que se adoptará con las pruebas recaudadas y en ese sentido la abogada sustanciadora elabora el proyecto, igualmente se hace seguimiento a las solicitudes de pruebas dentro de los expedientes que se encuentren en términos para tomar decisiones respecto de la formulación de cargos o del auto de terminación y archivo definitivo.</t>
  </si>
  <si>
    <t>Respuestas a los ciudadanos que incumplen los criterios de calidad.</t>
  </si>
  <si>
    <t>Posibilidad de afectación reputacional por respuestas a los ciudadanos que incumplen los criterios de calidad debido a falta de conocimiento frente a la norma, la política y al manejo del sistema de PQRS.</t>
  </si>
  <si>
    <t>En los casos que corresponda se emite un memorando a la dependencia en la que se presenta la situación con copia a Oficina de Control Interno reportando el hecho y se solicita reinducción y/o capacitación y plan mejoramiento</t>
  </si>
  <si>
    <t>Dar traslado con el auto de prescripción a la Personería o a la Procuraduría para que se tomen las decisiones pertinentes.</t>
  </si>
  <si>
    <t>Gestión del Conocimiento y la Innovación</t>
  </si>
  <si>
    <t>Desarrollar y fortalecer la Gestión del Conocimiento e Innovación de la Empresa, mediante la adopción e implementación de instrumentos, herramientas, metodologías y acciones innovadoras que permitan materializar ideas, generar y preservar el conocimiento, tomar decisiones basada en evidencias y generar una cultura de innovación que conlleven al mejoramiento del desempeño de la organización.</t>
  </si>
  <si>
    <t>Inicia con la gestión de conocimiento de la empresa, así como la definición de las temáticas, líneas y retos de innovación, comprende la implementación de mecanismos para generación o construcción del conocimiento y la innovación, su sistematización o documentación y finaliza con la disposición y socialización de las lecciones aprendidas y productos de conocimiento.</t>
  </si>
  <si>
    <t>Fuga de conocimiento.</t>
  </si>
  <si>
    <t>Desactualización del conocimiento tácito y explícito.</t>
  </si>
  <si>
    <t>Posibilidad de afectación reputacional por la fuga del conocimiento debido a la desactualización del conocimiento tácito y explícito de los procesos.</t>
  </si>
  <si>
    <t>Documentar los lineamientos para controlar la fuga del conocimiento, así como la definición de las herramientas de monitoreo y seguimiento.</t>
  </si>
  <si>
    <t>Acción de Contingencia ante posible materialización</t>
  </si>
  <si>
    <t>Generar espacios con los involucrados, para realizar el levantamiento de la información, documentarla, publicarla y socializarla.</t>
  </si>
  <si>
    <t>Se establecerá una vez se tengan definidos los  lineamientos para controlar la fuga del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</si>
</sst>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62"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
      <sz val="10"/>
      <color rgb="FFFF0000"/>
      <name val="Arial Narrow"/>
      <family val="2"/>
    </font>
    <font>
      <b/>
      <i/>
      <sz val="10"/>
      <color theme="1"/>
      <name val="Arial Narrow"/>
      <family val="2"/>
    </font>
    <font>
      <b/>
      <sz val="10"/>
      <color rgb="FFFF000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554">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Fill="1" applyAlignment="1">
      <alignment vertical="center"/>
    </xf>
    <xf numFmtId="0" fontId="28" fillId="0" borderId="0" xfId="0" applyFont="1" applyFill="1"/>
    <xf numFmtId="0" fontId="26" fillId="0" borderId="0" xfId="0" applyFont="1"/>
    <xf numFmtId="0" fontId="0" fillId="0" borderId="0" xfId="0" pivotButton="1"/>
    <xf numFmtId="0" fontId="12" fillId="0" borderId="0" xfId="0" applyFont="1" applyBorder="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1" borderId="0"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Border="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0"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0" fillId="3" borderId="0" xfId="0" applyFill="1"/>
    <xf numFmtId="0" fontId="48" fillId="3" borderId="51" xfId="2" applyFont="1" applyFill="1" applyBorder="1" applyProtection="1"/>
    <xf numFmtId="0" fontId="48" fillId="3" borderId="52" xfId="2" applyFont="1" applyFill="1" applyBorder="1" applyProtection="1"/>
    <xf numFmtId="0" fontId="48" fillId="3" borderId="53" xfId="2" applyFont="1" applyFill="1" applyBorder="1" applyProtection="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Border="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applyProtection="1"/>
    <xf numFmtId="0" fontId="53" fillId="3" borderId="0" xfId="0" applyFont="1" applyFill="1" applyBorder="1" applyAlignment="1" applyProtection="1">
      <alignment horizontal="left" vertical="center" wrapText="1"/>
    </xf>
    <xf numFmtId="0" fontId="54" fillId="3" borderId="0" xfId="0" applyFont="1" applyFill="1" applyBorder="1" applyAlignment="1" applyProtection="1">
      <alignment horizontal="left" vertical="top" wrapText="1"/>
    </xf>
    <xf numFmtId="0" fontId="48" fillId="3" borderId="0" xfId="2" applyFont="1" applyFill="1" applyBorder="1" applyProtection="1"/>
    <xf numFmtId="0" fontId="48" fillId="3" borderId="15" xfId="2" applyFont="1" applyFill="1" applyBorder="1" applyProtection="1"/>
    <xf numFmtId="0" fontId="48" fillId="3" borderId="16" xfId="2" applyFont="1" applyFill="1" applyBorder="1" applyProtection="1"/>
    <xf numFmtId="0" fontId="48" fillId="3" borderId="18" xfId="2" applyFont="1" applyFill="1" applyBorder="1" applyProtection="1"/>
    <xf numFmtId="0" fontId="48" fillId="3" borderId="17" xfId="2" applyFont="1" applyFill="1" applyBorder="1" applyProtection="1"/>
    <xf numFmtId="0" fontId="52" fillId="3" borderId="0" xfId="2" applyFont="1" applyFill="1" applyBorder="1" applyAlignment="1" applyProtection="1">
      <alignment horizontal="left" vertical="center" wrapText="1"/>
    </xf>
    <xf numFmtId="0" fontId="48" fillId="3" borderId="0" xfId="2" applyFont="1" applyFill="1" applyBorder="1" applyAlignment="1" applyProtection="1">
      <alignment horizontal="left" vertical="center" wrapText="1"/>
    </xf>
    <xf numFmtId="0" fontId="48" fillId="3" borderId="0" xfId="2" quotePrefix="1" applyFont="1" applyFill="1" applyBorder="1" applyAlignment="1" applyProtection="1">
      <alignment horizontal="left" vertical="center" wrapText="1"/>
    </xf>
    <xf numFmtId="0" fontId="48" fillId="3" borderId="15" xfId="2" applyFont="1" applyFill="1" applyBorder="1" applyAlignment="1" applyProtection="1"/>
    <xf numFmtId="0" fontId="50" fillId="3" borderId="14" xfId="2" quotePrefix="1" applyFont="1" applyFill="1" applyBorder="1" applyAlignment="1" applyProtection="1">
      <alignment horizontal="left" vertical="top" wrapText="1"/>
    </xf>
    <xf numFmtId="0" fontId="51" fillId="3" borderId="0" xfId="2" quotePrefix="1" applyFont="1" applyFill="1" applyBorder="1" applyAlignment="1" applyProtection="1">
      <alignment horizontal="left" vertical="top" wrapText="1"/>
    </xf>
    <xf numFmtId="0" fontId="51" fillId="3" borderId="15" xfId="2" quotePrefix="1" applyFont="1" applyFill="1" applyBorder="1" applyAlignment="1" applyProtection="1">
      <alignment horizontal="left" vertical="top" wrapText="1"/>
    </xf>
    <xf numFmtId="0" fontId="1" fillId="0" borderId="6" xfId="0" applyFont="1" applyBorder="1" applyAlignment="1">
      <alignment horizontal="center" vertical="center"/>
    </xf>
    <xf numFmtId="0" fontId="6" fillId="0" borderId="2" xfId="0" applyFont="1" applyBorder="1" applyAlignment="1" applyProtection="1">
      <alignment horizontal="justify" vertical="center" wrapText="1"/>
      <protection locked="0"/>
    </xf>
    <xf numFmtId="0" fontId="19" fillId="12" borderId="13" xfId="0" applyFont="1" applyFill="1" applyBorder="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6" fillId="0" borderId="2" xfId="0" applyFont="1" applyFill="1" applyBorder="1" applyAlignment="1" applyProtection="1">
      <alignment horizontal="justify" vertical="center" wrapText="1"/>
      <protection locked="0"/>
    </xf>
    <xf numFmtId="0" fontId="6" fillId="0" borderId="83" xfId="0" applyFont="1" applyBorder="1" applyAlignment="1">
      <alignment horizontal="justify" vertical="center" wrapText="1"/>
    </xf>
    <xf numFmtId="0" fontId="48" fillId="0" borderId="2" xfId="0" applyFont="1" applyFill="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locked="0"/>
    </xf>
    <xf numFmtId="14" fontId="48" fillId="0" borderId="2" xfId="0" applyNumberFormat="1" applyFont="1" applyFill="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Fill="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6" fillId="0" borderId="2"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hidden="1"/>
    </xf>
    <xf numFmtId="14" fontId="6" fillId="0" borderId="2"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justify" vertical="center"/>
      <protection locked="0"/>
    </xf>
    <xf numFmtId="0" fontId="48"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textRotation="90"/>
      <protection locked="0"/>
    </xf>
    <xf numFmtId="9" fontId="6" fillId="0" borderId="2" xfId="0" applyNumberFormat="1" applyFont="1" applyFill="1" applyBorder="1" applyAlignment="1" applyProtection="1">
      <alignment horizontal="center" vertical="center"/>
      <protection hidden="1"/>
    </xf>
    <xf numFmtId="164" fontId="6" fillId="0" borderId="2" xfId="1" applyNumberFormat="1" applyFont="1" applyFill="1" applyBorder="1" applyAlignment="1">
      <alignment horizontal="center" vertical="center"/>
    </xf>
    <xf numFmtId="9" fontId="6" fillId="0" borderId="4" xfId="0" applyNumberFormat="1" applyFont="1" applyFill="1" applyBorder="1" applyAlignment="1" applyProtection="1">
      <alignment horizontal="center" vertical="center"/>
      <protection hidden="1"/>
    </xf>
    <xf numFmtId="0" fontId="57" fillId="0" borderId="2" xfId="0" applyFont="1" applyFill="1" applyBorder="1" applyAlignment="1" applyProtection="1">
      <alignment horizontal="center" vertical="center" textRotation="90"/>
      <protection hidden="1"/>
    </xf>
    <xf numFmtId="0" fontId="6" fillId="0" borderId="4" xfId="0" applyFont="1" applyFill="1" applyBorder="1" applyAlignment="1" applyProtection="1">
      <alignment horizontal="center" vertical="center" textRotation="90"/>
      <protection locked="0"/>
    </xf>
    <xf numFmtId="0" fontId="6" fillId="0" borderId="83" xfId="0" applyFont="1" applyFill="1" applyBorder="1" applyAlignment="1">
      <alignment horizontal="justify" vertical="center" wrapText="1"/>
    </xf>
    <xf numFmtId="0" fontId="6" fillId="0" borderId="83" xfId="0" applyFont="1" applyFill="1" applyBorder="1" applyAlignment="1">
      <alignment horizontal="center" vertical="center"/>
    </xf>
    <xf numFmtId="164" fontId="6" fillId="3" borderId="2" xfId="1" applyNumberFormat="1" applyFont="1" applyFill="1" applyBorder="1" applyAlignment="1">
      <alignment horizontal="center" vertical="center"/>
    </xf>
    <xf numFmtId="165"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center" vertical="center" wrapText="1"/>
      <protection locked="0"/>
    </xf>
    <xf numFmtId="0" fontId="6" fillId="0" borderId="6"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hidden="1"/>
    </xf>
    <xf numFmtId="0" fontId="6" fillId="0" borderId="2" xfId="0" applyFont="1" applyFill="1" applyBorder="1" applyAlignment="1" applyProtection="1">
      <alignment horizontal="center" vertical="center"/>
    </xf>
    <xf numFmtId="164" fontId="48" fillId="0" borderId="2" xfId="1" applyNumberFormat="1" applyFont="1" applyBorder="1" applyAlignment="1">
      <alignment horizontal="center" vertical="center"/>
    </xf>
    <xf numFmtId="164" fontId="48" fillId="0" borderId="2" xfId="1" applyNumberFormat="1" applyFont="1" applyFill="1" applyBorder="1" applyAlignment="1">
      <alignment horizontal="center" vertical="center"/>
    </xf>
    <xf numFmtId="0" fontId="6" fillId="0" borderId="2" xfId="0" quotePrefix="1" applyFont="1" applyFill="1" applyBorder="1" applyAlignment="1" applyProtection="1">
      <alignment horizontal="justify" vertical="center" wrapText="1"/>
      <protection locked="0"/>
    </xf>
    <xf numFmtId="0" fontId="6" fillId="0" borderId="0" xfId="0" applyFont="1" applyFill="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59" fillId="3" borderId="2" xfId="0" applyFont="1" applyFill="1" applyBorder="1" applyAlignment="1" applyProtection="1">
      <alignment horizontal="center" vertical="center" textRotation="90"/>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48" fillId="3" borderId="2"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9" fontId="59" fillId="3" borderId="2" xfId="0" applyNumberFormat="1" applyFont="1" applyFill="1" applyBorder="1" applyAlignment="1" applyProtection="1">
      <alignment horizontal="center" vertical="center"/>
      <protection hidden="1"/>
    </xf>
    <xf numFmtId="9" fontId="6" fillId="3" borderId="4"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84" xfId="0" applyFont="1" applyFill="1" applyBorder="1" applyAlignment="1" applyProtection="1">
      <alignment horizontal="justify" vertical="center" wrapText="1"/>
      <protection locked="0"/>
    </xf>
    <xf numFmtId="0" fontId="3" fillId="3" borderId="84" xfId="0" applyFont="1" applyFill="1" applyBorder="1" applyAlignment="1" applyProtection="1">
      <alignment horizontal="center" vertical="center"/>
      <protection locked="0"/>
    </xf>
    <xf numFmtId="165" fontId="3" fillId="3" borderId="8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hidden="1"/>
    </xf>
    <xf numFmtId="0" fontId="48" fillId="3" borderId="84" xfId="0" applyFont="1" applyFill="1" applyBorder="1" applyAlignment="1" applyProtection="1">
      <alignment horizontal="justify" vertical="center" wrapText="1"/>
      <protection locked="0"/>
    </xf>
    <xf numFmtId="0" fontId="6" fillId="3" borderId="83" xfId="0" applyFont="1" applyFill="1" applyBorder="1" applyAlignment="1">
      <alignment horizontal="justify" vertical="center" wrapText="1"/>
    </xf>
    <xf numFmtId="0" fontId="3" fillId="3" borderId="83" xfId="0" applyFont="1" applyFill="1" applyBorder="1" applyAlignment="1">
      <alignment horizontal="center" vertical="center" wrapText="1"/>
    </xf>
    <xf numFmtId="0" fontId="3" fillId="3" borderId="83" xfId="0" applyFont="1" applyFill="1" applyBorder="1" applyAlignment="1">
      <alignment horizontal="justify" vertical="center" wrapText="1"/>
    </xf>
    <xf numFmtId="0" fontId="3" fillId="3" borderId="83" xfId="0" applyFont="1" applyFill="1" applyBorder="1" applyAlignment="1">
      <alignment horizontal="center" vertical="center"/>
    </xf>
    <xf numFmtId="0" fontId="48" fillId="3" borderId="83" xfId="0" applyFont="1" applyFill="1" applyBorder="1" applyAlignment="1">
      <alignment horizontal="left" vertical="center" wrapText="1"/>
    </xf>
    <xf numFmtId="0" fontId="48"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0" fontId="59" fillId="0" borderId="2" xfId="0"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locked="0"/>
    </xf>
    <xf numFmtId="9" fontId="59" fillId="0" borderId="2" xfId="0" applyNumberFormat="1" applyFont="1" applyBorder="1" applyAlignment="1" applyProtection="1">
      <alignment horizontal="center" vertical="center"/>
      <protection hidden="1"/>
    </xf>
    <xf numFmtId="164" fontId="59" fillId="0" borderId="2" xfId="1" applyNumberFormat="1" applyFont="1" applyBorder="1" applyAlignment="1">
      <alignment horizontal="center" vertical="center"/>
    </xf>
    <xf numFmtId="0" fontId="61" fillId="0" borderId="2" xfId="0" applyFont="1" applyFill="1" applyBorder="1" applyAlignment="1" applyProtection="1">
      <alignment horizontal="center" vertical="center" textRotation="90" wrapText="1"/>
      <protection hidden="1"/>
    </xf>
    <xf numFmtId="9" fontId="59" fillId="0" borderId="4" xfId="0" applyNumberFormat="1" applyFont="1" applyBorder="1" applyAlignment="1" applyProtection="1">
      <alignment horizontal="center" vertical="center"/>
      <protection hidden="1"/>
    </xf>
    <xf numFmtId="0" fontId="61" fillId="0" borderId="2" xfId="0" applyFont="1" applyBorder="1" applyAlignment="1" applyProtection="1">
      <alignment horizontal="center" vertical="center" textRotation="90"/>
      <protection hidden="1"/>
    </xf>
    <xf numFmtId="0" fontId="59" fillId="0" borderId="4" xfId="0" applyFont="1" applyBorder="1" applyAlignment="1" applyProtection="1">
      <alignment horizontal="center" vertical="center" textRotation="90"/>
      <protection locked="0"/>
    </xf>
    <xf numFmtId="0" fontId="59" fillId="0" borderId="2" xfId="0" applyFont="1" applyFill="1" applyBorder="1" applyAlignment="1" applyProtection="1">
      <alignment horizontal="justify" vertical="center" wrapText="1"/>
      <protection locked="0"/>
    </xf>
    <xf numFmtId="0" fontId="59" fillId="0" borderId="2" xfId="0" applyFont="1" applyFill="1" applyBorder="1" applyAlignment="1" applyProtection="1">
      <alignment horizontal="center" vertical="center"/>
      <protection locked="0"/>
    </xf>
    <xf numFmtId="14" fontId="59" fillId="0" borderId="2" xfId="0" applyNumberFormat="1" applyFont="1" applyFill="1" applyBorder="1" applyAlignment="1" applyProtection="1">
      <alignment horizontal="center" vertical="center" wrapText="1"/>
      <protection locked="0"/>
    </xf>
    <xf numFmtId="0" fontId="59" fillId="0" borderId="2" xfId="0" applyFont="1" applyBorder="1" applyAlignment="1" applyProtection="1">
      <alignment horizontal="center" vertical="center"/>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48" fillId="0" borderId="2" xfId="0" applyFont="1" applyBorder="1" applyAlignment="1" applyProtection="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Fill="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1"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59" fillId="0" borderId="0" xfId="0" applyFont="1" applyFill="1" applyAlignment="1">
      <alignment vertical="center"/>
    </xf>
    <xf numFmtId="0" fontId="3" fillId="0" borderId="83" xfId="0" applyFont="1" applyFill="1" applyBorder="1" applyAlignment="1">
      <alignment horizontal="center" vertical="center" wrapText="1"/>
    </xf>
    <xf numFmtId="0" fontId="48" fillId="3" borderId="2" xfId="0" applyFont="1" applyFill="1" applyBorder="1" applyAlignment="1" applyProtection="1">
      <alignment horizontal="center" vertical="center"/>
      <protection hidden="1"/>
    </xf>
    <xf numFmtId="0" fontId="48" fillId="3" borderId="2" xfId="0" applyFont="1" applyFill="1" applyBorder="1" applyAlignment="1" applyProtection="1">
      <alignment horizontal="center" vertical="center" textRotation="90"/>
      <protection locked="0"/>
    </xf>
    <xf numFmtId="9" fontId="48" fillId="3" borderId="2" xfId="0" applyNumberFormat="1" applyFont="1" applyFill="1" applyBorder="1" applyAlignment="1" applyProtection="1">
      <alignment horizontal="center" vertical="center"/>
      <protection hidden="1"/>
    </xf>
    <xf numFmtId="164" fontId="48" fillId="3" borderId="2" xfId="1" applyNumberFormat="1" applyFont="1" applyFill="1" applyBorder="1" applyAlignment="1">
      <alignment horizontal="center" vertical="center"/>
    </xf>
    <xf numFmtId="0" fontId="52" fillId="3" borderId="2" xfId="0" applyFont="1" applyFill="1" applyBorder="1" applyAlignment="1" applyProtection="1">
      <alignment horizontal="center" vertical="center" textRotation="90" wrapText="1"/>
      <protection hidden="1"/>
    </xf>
    <xf numFmtId="9" fontId="48" fillId="3" borderId="4" xfId="0" applyNumberFormat="1" applyFont="1" applyFill="1" applyBorder="1" applyAlignment="1" applyProtection="1">
      <alignment horizontal="center" vertical="center"/>
      <protection hidden="1"/>
    </xf>
    <xf numFmtId="0" fontId="52" fillId="3" borderId="2" xfId="0" applyFont="1" applyFill="1" applyBorder="1" applyAlignment="1" applyProtection="1">
      <alignment horizontal="center" vertical="center" textRotation="90"/>
      <protection hidden="1"/>
    </xf>
    <xf numFmtId="0" fontId="48" fillId="3" borderId="4" xfId="0" applyFont="1" applyFill="1" applyBorder="1" applyAlignment="1" applyProtection="1">
      <alignment horizontal="center" vertical="center" textRotation="90"/>
      <protection locked="0"/>
    </xf>
    <xf numFmtId="0" fontId="48" fillId="0" borderId="2" xfId="0" applyFont="1" applyBorder="1" applyAlignment="1" applyProtection="1">
      <alignment horizontal="center" vertical="center"/>
      <protection locked="0"/>
    </xf>
    <xf numFmtId="0" fontId="48" fillId="0" borderId="0" xfId="0" applyFont="1" applyFill="1" applyAlignment="1">
      <alignment vertical="center"/>
    </xf>
    <xf numFmtId="0" fontId="48" fillId="0" borderId="2" xfId="0" applyFont="1" applyFill="1" applyBorder="1" applyAlignment="1" applyProtection="1">
      <alignment horizontal="center" vertical="center" textRotation="90"/>
      <protection locked="0"/>
    </xf>
    <xf numFmtId="9" fontId="48" fillId="0" borderId="2" xfId="0" applyNumberFormat="1" applyFont="1" applyFill="1" applyBorder="1" applyAlignment="1" applyProtection="1">
      <alignment horizontal="center" vertical="center"/>
      <protection hidden="1"/>
    </xf>
    <xf numFmtId="9" fontId="48" fillId="0" borderId="4" xfId="0" applyNumberFormat="1" applyFont="1" applyFill="1" applyBorder="1" applyAlignment="1" applyProtection="1">
      <alignment horizontal="center" vertical="center"/>
      <protection hidden="1"/>
    </xf>
    <xf numFmtId="0" fontId="52" fillId="0" borderId="2" xfId="0" applyFont="1" applyFill="1" applyBorder="1" applyAlignment="1" applyProtection="1">
      <alignment horizontal="center" vertical="center" textRotation="90"/>
      <protection hidden="1"/>
    </xf>
    <xf numFmtId="0" fontId="48" fillId="0" borderId="4" xfId="0" applyFont="1" applyFill="1" applyBorder="1" applyAlignment="1" applyProtection="1">
      <alignment horizontal="center" vertical="center" textRotation="90"/>
      <protection locked="0"/>
    </xf>
    <xf numFmtId="0" fontId="6" fillId="13" borderId="2" xfId="0" applyFont="1" applyFill="1" applyBorder="1" applyAlignment="1" applyProtection="1">
      <alignment horizontal="center" vertical="center"/>
      <protection hidden="1"/>
    </xf>
    <xf numFmtId="0" fontId="6" fillId="3" borderId="0" xfId="0" applyFont="1" applyFill="1" applyAlignment="1">
      <alignment horizontal="center" vertical="center"/>
    </xf>
    <xf numFmtId="0" fontId="54" fillId="3" borderId="64" xfId="2" applyFont="1" applyFill="1" applyBorder="1" applyAlignment="1" applyProtection="1">
      <alignment horizontal="justify" vertical="center" wrapText="1"/>
    </xf>
    <xf numFmtId="0" fontId="54" fillId="3" borderId="65" xfId="2" applyFont="1" applyFill="1" applyBorder="1" applyAlignment="1" applyProtection="1">
      <alignment horizontal="justify" vertical="center" wrapText="1"/>
    </xf>
    <xf numFmtId="0" fontId="53" fillId="3" borderId="71" xfId="0" applyFont="1" applyFill="1" applyBorder="1" applyAlignment="1" applyProtection="1">
      <alignment horizontal="left" vertical="center" wrapText="1"/>
    </xf>
    <xf numFmtId="0" fontId="53" fillId="3" borderId="72" xfId="0" applyFont="1" applyFill="1" applyBorder="1" applyAlignment="1" applyProtection="1">
      <alignment horizontal="left" vertical="center" wrapText="1"/>
    </xf>
    <xf numFmtId="0" fontId="53" fillId="3" borderId="58" xfId="3" applyFont="1" applyFill="1" applyBorder="1" applyAlignment="1" applyProtection="1">
      <alignment horizontal="left" vertical="top" wrapText="1" readingOrder="1"/>
    </xf>
    <xf numFmtId="0" fontId="53" fillId="3" borderId="59" xfId="3" applyFont="1" applyFill="1" applyBorder="1" applyAlignment="1" applyProtection="1">
      <alignment horizontal="left" vertical="top" wrapText="1" readingOrder="1"/>
    </xf>
    <xf numFmtId="0" fontId="54" fillId="3" borderId="60" xfId="2" applyFont="1" applyFill="1" applyBorder="1" applyAlignment="1" applyProtection="1">
      <alignment horizontal="justify" vertical="center" wrapText="1"/>
    </xf>
    <xf numFmtId="0" fontId="54" fillId="3" borderId="61" xfId="2" applyFont="1" applyFill="1" applyBorder="1" applyAlignment="1" applyProtection="1">
      <alignment horizontal="justify" vertical="center" wrapText="1"/>
    </xf>
    <xf numFmtId="0" fontId="53" fillId="3" borderId="62" xfId="0" applyFont="1" applyFill="1" applyBorder="1" applyAlignment="1" applyProtection="1">
      <alignment horizontal="left" vertical="center" wrapText="1"/>
    </xf>
    <xf numFmtId="0" fontId="53" fillId="3" borderId="63" xfId="0" applyFont="1" applyFill="1" applyBorder="1" applyAlignment="1" applyProtection="1">
      <alignment horizontal="left" vertical="center" wrapText="1"/>
    </xf>
    <xf numFmtId="0" fontId="48" fillId="3" borderId="14" xfId="2" applyFont="1" applyFill="1" applyBorder="1" applyAlignment="1" applyProtection="1">
      <alignment horizontal="left" vertical="top" wrapText="1"/>
    </xf>
    <xf numFmtId="0" fontId="48" fillId="3" borderId="0" xfId="2" applyFont="1" applyFill="1" applyBorder="1" applyAlignment="1" applyProtection="1">
      <alignment horizontal="left" vertical="top" wrapText="1"/>
    </xf>
    <xf numFmtId="0" fontId="48" fillId="3" borderId="15" xfId="2" applyFont="1" applyFill="1" applyBorder="1" applyAlignment="1" applyProtection="1">
      <alignment horizontal="left" vertical="top" wrapText="1"/>
    </xf>
    <xf numFmtId="0" fontId="53" fillId="3" borderId="73" xfId="0" applyFont="1" applyFill="1" applyBorder="1" applyAlignment="1" applyProtection="1">
      <alignment horizontal="left" vertical="center" wrapText="1"/>
    </xf>
    <xf numFmtId="0" fontId="53" fillId="3" borderId="74" xfId="0" applyFont="1" applyFill="1" applyBorder="1" applyAlignment="1" applyProtection="1">
      <alignment horizontal="left" vertical="center" wrapText="1"/>
    </xf>
    <xf numFmtId="0" fontId="54" fillId="3" borderId="66" xfId="0" applyFont="1" applyFill="1" applyBorder="1" applyAlignment="1" applyProtection="1">
      <alignment horizontal="justify" vertical="center" wrapText="1"/>
    </xf>
    <xf numFmtId="0" fontId="54" fillId="3" borderId="67" xfId="0" applyFont="1" applyFill="1" applyBorder="1" applyAlignment="1" applyProtection="1">
      <alignment horizontal="justify" vertical="center" wrapText="1"/>
    </xf>
    <xf numFmtId="0" fontId="49" fillId="14" borderId="48" xfId="2" applyFont="1" applyFill="1" applyBorder="1" applyAlignment="1" applyProtection="1">
      <alignment horizontal="center" vertical="center" wrapText="1"/>
    </xf>
    <xf numFmtId="0" fontId="49" fillId="14" borderId="49" xfId="2" applyFont="1" applyFill="1" applyBorder="1" applyAlignment="1" applyProtection="1">
      <alignment horizontal="center" vertical="center" wrapText="1"/>
    </xf>
    <xf numFmtId="0" fontId="49" fillId="14" borderId="50" xfId="2" applyFont="1" applyFill="1" applyBorder="1" applyAlignment="1" applyProtection="1">
      <alignment horizontal="center" vertical="center" wrapText="1"/>
    </xf>
    <xf numFmtId="0" fontId="48" fillId="0" borderId="14" xfId="2" quotePrefix="1" applyFont="1" applyBorder="1" applyAlignment="1" applyProtection="1">
      <alignment horizontal="left" vertical="center" wrapText="1"/>
    </xf>
    <xf numFmtId="0" fontId="48" fillId="0" borderId="0" xfId="2" quotePrefix="1" applyFont="1" applyBorder="1" applyAlignment="1" applyProtection="1">
      <alignment horizontal="left" vertical="center" wrapText="1"/>
    </xf>
    <xf numFmtId="0" fontId="48" fillId="0" borderId="15" xfId="2" quotePrefix="1" applyFont="1" applyBorder="1" applyAlignment="1" applyProtection="1">
      <alignment horizontal="left" vertical="center" wrapText="1"/>
    </xf>
    <xf numFmtId="0" fontId="48" fillId="0" borderId="68" xfId="2" quotePrefix="1" applyFont="1" applyBorder="1" applyAlignment="1" applyProtection="1">
      <alignment horizontal="left" vertical="center" wrapText="1"/>
    </xf>
    <xf numFmtId="0" fontId="48" fillId="0" borderId="69" xfId="2" quotePrefix="1" applyFont="1" applyBorder="1" applyAlignment="1" applyProtection="1">
      <alignment horizontal="left" vertical="center" wrapText="1"/>
    </xf>
    <xf numFmtId="0" fontId="48" fillId="0" borderId="70" xfId="2" quotePrefix="1" applyFont="1" applyBorder="1" applyAlignment="1" applyProtection="1">
      <alignment horizontal="left" vertical="center" wrapText="1"/>
    </xf>
    <xf numFmtId="0" fontId="50" fillId="3" borderId="51" xfId="2" quotePrefix="1" applyFont="1" applyFill="1" applyBorder="1" applyAlignment="1" applyProtection="1">
      <alignment horizontal="left" vertical="top" wrapText="1"/>
    </xf>
    <xf numFmtId="0" fontId="51" fillId="3" borderId="52" xfId="2" quotePrefix="1" applyFont="1" applyFill="1" applyBorder="1" applyAlignment="1" applyProtection="1">
      <alignment horizontal="left" vertical="top" wrapText="1"/>
    </xf>
    <xf numFmtId="0" fontId="51" fillId="3" borderId="53" xfId="2" quotePrefix="1" applyFont="1" applyFill="1" applyBorder="1" applyAlignment="1" applyProtection="1">
      <alignment horizontal="left" vertical="top" wrapText="1"/>
    </xf>
    <xf numFmtId="0" fontId="48" fillId="0" borderId="14" xfId="2" quotePrefix="1" applyFont="1" applyBorder="1" applyAlignment="1" applyProtection="1">
      <alignment horizontal="left" vertical="top" wrapText="1"/>
    </xf>
    <xf numFmtId="0" fontId="48" fillId="0" borderId="0" xfId="2" quotePrefix="1" applyFont="1" applyBorder="1" applyAlignment="1" applyProtection="1">
      <alignment horizontal="left" vertical="top" wrapText="1"/>
    </xf>
    <xf numFmtId="0" fontId="48" fillId="0" borderId="15" xfId="2" quotePrefix="1" applyFont="1" applyBorder="1" applyAlignment="1" applyProtection="1">
      <alignment horizontal="left" vertical="top" wrapText="1"/>
    </xf>
    <xf numFmtId="0" fontId="53" fillId="14" borderId="54" xfId="3" applyFont="1" applyFill="1" applyBorder="1" applyAlignment="1" applyProtection="1">
      <alignment horizontal="center" vertical="center" wrapText="1"/>
    </xf>
    <xf numFmtId="0" fontId="53" fillId="14" borderId="55" xfId="3" applyFont="1" applyFill="1" applyBorder="1" applyAlignment="1" applyProtection="1">
      <alignment horizontal="center" vertical="center" wrapText="1"/>
    </xf>
    <xf numFmtId="0" fontId="53" fillId="14" borderId="56" xfId="2" applyFont="1" applyFill="1" applyBorder="1" applyAlignment="1" applyProtection="1">
      <alignment horizontal="center" vertical="center"/>
    </xf>
    <xf numFmtId="0" fontId="53"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Border="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4" xfId="0" applyFont="1" applyBorder="1" applyAlignment="1">
      <alignment horizontal="center" vertical="center" wrapText="1"/>
    </xf>
    <xf numFmtId="0" fontId="42" fillId="0" borderId="0" xfId="0" applyFont="1" applyBorder="1" applyAlignment="1">
      <alignment horizontal="center" vertical="center"/>
    </xf>
    <xf numFmtId="0" fontId="42" fillId="0" borderId="14" xfId="0" applyFont="1" applyBorder="1" applyAlignment="1">
      <alignment horizontal="center" vertical="center"/>
    </xf>
    <xf numFmtId="0" fontId="42" fillId="0" borderId="0" xfId="0" applyFont="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Border="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Border="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Border="1" applyAlignment="1">
      <alignment horizontal="center" vertical="center" wrapText="1" readingOrder="1"/>
    </xf>
    <xf numFmtId="0" fontId="41" fillId="13" borderId="24" xfId="0" applyFont="1" applyFill="1" applyBorder="1" applyAlignment="1">
      <alignment horizontal="center" vertical="center" wrapText="1" readingOrder="1"/>
    </xf>
    <xf numFmtId="0" fontId="42" fillId="0" borderId="77" xfId="0" applyFont="1" applyBorder="1" applyAlignment="1">
      <alignment horizontal="center" vertical="center" wrapText="1"/>
    </xf>
    <xf numFmtId="0" fontId="42" fillId="0" borderId="77" xfId="0" applyFont="1" applyBorder="1" applyAlignment="1">
      <alignment horizontal="center" vertical="center"/>
    </xf>
    <xf numFmtId="0" fontId="42" fillId="0" borderId="79" xfId="0" applyFont="1" applyBorder="1" applyAlignment="1">
      <alignment horizontal="center" vertical="center"/>
    </xf>
    <xf numFmtId="0" fontId="42" fillId="0" borderId="80" xfId="0" applyFont="1" applyBorder="1" applyAlignment="1">
      <alignment horizontal="center" vertical="center"/>
    </xf>
    <xf numFmtId="0" fontId="42" fillId="0" borderId="81" xfId="0" applyFont="1" applyBorder="1" applyAlignment="1">
      <alignment horizontal="center" vertical="center"/>
    </xf>
    <xf numFmtId="0" fontId="42" fillId="0" borderId="0" xfId="0" applyFont="1" applyBorder="1" applyAlignment="1">
      <alignment horizontal="center" vertical="center" wrapText="1"/>
    </xf>
    <xf numFmtId="0" fontId="42" fillId="0" borderId="78" xfId="0" applyFont="1" applyBorder="1" applyAlignment="1">
      <alignment horizontal="center" vertical="center"/>
    </xf>
    <xf numFmtId="0" fontId="42" fillId="0" borderId="82" xfId="0" applyFont="1" applyBorder="1" applyAlignment="1">
      <alignment horizontal="center" vertical="center"/>
    </xf>
    <xf numFmtId="0" fontId="6" fillId="3" borderId="4"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9" fontId="6" fillId="3" borderId="5" xfId="0" applyNumberFormat="1"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3" borderId="4" xfId="0" applyFont="1" applyFill="1" applyBorder="1" applyAlignment="1" applyProtection="1">
      <alignment horizontal="justify" vertical="center" wrapText="1"/>
    </xf>
    <xf numFmtId="0" fontId="6" fillId="3" borderId="8" xfId="0" applyFont="1" applyFill="1" applyBorder="1" applyAlignment="1" applyProtection="1">
      <alignment horizontal="justify" vertical="center" wrapText="1"/>
    </xf>
    <xf numFmtId="0" fontId="6" fillId="3" borderId="4" xfId="0" quotePrefix="1" applyFont="1" applyFill="1" applyBorder="1" applyAlignment="1" applyProtection="1">
      <alignment horizontal="center" vertical="center" wrapText="1"/>
      <protection locked="0"/>
    </xf>
    <xf numFmtId="0" fontId="52" fillId="3" borderId="4" xfId="0" applyFont="1" applyFill="1" applyBorder="1" applyAlignment="1" applyProtection="1">
      <alignment horizontal="center" vertical="center" wrapText="1"/>
      <protection hidden="1"/>
    </xf>
    <xf numFmtId="0" fontId="6" fillId="0" borderId="4"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3" borderId="4" xfId="0" applyFont="1" applyFill="1" applyBorder="1" applyAlignment="1" applyProtection="1">
      <alignment horizontal="justify" vertical="center"/>
    </xf>
    <xf numFmtId="0" fontId="6" fillId="3" borderId="8" xfId="0" applyFont="1" applyFill="1" applyBorder="1" applyAlignment="1" applyProtection="1">
      <alignment horizontal="justify" vertical="center"/>
    </xf>
    <xf numFmtId="0" fontId="48" fillId="3" borderId="4" xfId="0" quotePrefix="1" applyFont="1" applyFill="1" applyBorder="1" applyAlignment="1" applyProtection="1">
      <alignment horizontal="center" vertical="center" wrapText="1"/>
      <protection locked="0"/>
    </xf>
    <xf numFmtId="0" fontId="6" fillId="3" borderId="8" xfId="0" quotePrefix="1" applyFont="1" applyFill="1" applyBorder="1" applyAlignment="1" applyProtection="1">
      <alignment horizontal="center" vertical="center" wrapText="1"/>
      <protection locked="0"/>
    </xf>
    <xf numFmtId="9" fontId="48" fillId="3" borderId="4" xfId="0" applyNumberFormat="1" applyFont="1" applyFill="1" applyBorder="1" applyAlignment="1" applyProtection="1">
      <alignment horizontal="center" vertical="center" wrapText="1"/>
      <protection locked="0"/>
    </xf>
    <xf numFmtId="9" fontId="48" fillId="3" borderId="8" xfId="0" applyNumberFormat="1" applyFont="1" applyFill="1" applyBorder="1" applyAlignment="1" applyProtection="1">
      <alignment horizontal="center" vertical="center" wrapText="1"/>
      <protection locked="0"/>
    </xf>
    <xf numFmtId="9" fontId="48" fillId="3" borderId="5" xfId="0" applyNumberFormat="1"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57" fillId="0" borderId="4" xfId="0" applyFont="1" applyFill="1" applyBorder="1" applyAlignment="1" applyProtection="1">
      <alignment horizontal="center" vertical="center" wrapText="1"/>
      <protection hidden="1"/>
    </xf>
    <xf numFmtId="0" fontId="57" fillId="0" borderId="8" xfId="0" applyFont="1" applyFill="1" applyBorder="1" applyAlignment="1" applyProtection="1">
      <alignment horizontal="center" vertical="center" wrapText="1"/>
      <protection hidden="1"/>
    </xf>
    <xf numFmtId="0" fontId="57" fillId="0" borderId="5" xfId="0" applyFont="1" applyFill="1" applyBorder="1" applyAlignment="1" applyProtection="1">
      <alignment horizontal="center" vertical="center" wrapText="1"/>
      <protection hidden="1"/>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6" fillId="0" borderId="4" xfId="0" applyFont="1" applyBorder="1" applyAlignment="1" applyProtection="1">
      <alignment horizontal="justify" vertical="center" wrapText="1"/>
    </xf>
    <xf numFmtId="0" fontId="6" fillId="0" borderId="8" xfId="0" applyFont="1" applyBorder="1" applyAlignment="1" applyProtection="1">
      <alignment horizontal="justify" vertical="center" wrapText="1"/>
    </xf>
    <xf numFmtId="0" fontId="6" fillId="0" borderId="5" xfId="0" applyFont="1" applyBorder="1" applyAlignment="1" applyProtection="1">
      <alignment horizontal="justify" vertical="center" wrapText="1"/>
    </xf>
    <xf numFmtId="0" fontId="6" fillId="0" borderId="8" xfId="0" applyFont="1" applyBorder="1" applyAlignment="1" applyProtection="1">
      <alignment horizontal="justify" vertical="center"/>
    </xf>
    <xf numFmtId="0" fontId="6" fillId="0" borderId="8"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9" fontId="6" fillId="0" borderId="5" xfId="0" applyNumberFormat="1" applyFont="1" applyBorder="1" applyAlignment="1" applyProtection="1">
      <alignment horizontal="center" vertical="center" wrapText="1"/>
      <protection locked="0"/>
    </xf>
    <xf numFmtId="0" fontId="6" fillId="0" borderId="4"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48" fillId="0" borderId="4" xfId="0" quotePrefix="1" applyFont="1" applyBorder="1" applyAlignment="1" applyProtection="1">
      <alignment horizontal="center" vertical="center" wrapText="1"/>
      <protection locked="0"/>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52" fillId="0" borderId="4" xfId="0" applyFont="1" applyFill="1" applyBorder="1" applyAlignment="1" applyProtection="1">
      <alignment horizontal="center" vertical="center" wrapText="1"/>
      <protection hidden="1"/>
    </xf>
    <xf numFmtId="0" fontId="52" fillId="0" borderId="8" xfId="0" applyFont="1" applyFill="1" applyBorder="1" applyAlignment="1" applyProtection="1">
      <alignment horizontal="center" vertical="center" wrapText="1"/>
      <protection hidden="1"/>
    </xf>
    <xf numFmtId="0" fontId="52" fillId="0" borderId="5" xfId="0" applyFont="1" applyFill="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locked="0"/>
    </xf>
    <xf numFmtId="9" fontId="48" fillId="0" borderId="8" xfId="0" applyNumberFormat="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6" fillId="0" borderId="4" xfId="0" quotePrefix="1"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48" fillId="0" borderId="4" xfId="0" applyFont="1" applyBorder="1" applyAlignment="1" applyProtection="1">
      <alignment vertical="center" wrapText="1"/>
      <protection locked="0"/>
    </xf>
    <xf numFmtId="0" fontId="48" fillId="0" borderId="8" xfId="0" applyFont="1" applyBorder="1" applyAlignment="1" applyProtection="1">
      <alignment vertical="center" wrapText="1"/>
      <protection locked="0"/>
    </xf>
    <xf numFmtId="0" fontId="48" fillId="0" borderId="8" xfId="0" applyFont="1" applyBorder="1" applyAlignment="1" applyProtection="1">
      <alignment horizontal="center" vertical="center"/>
    </xf>
    <xf numFmtId="0" fontId="48" fillId="0" borderId="4" xfId="0" applyFont="1" applyBorder="1" applyAlignment="1" applyProtection="1">
      <alignment horizontal="center" vertical="center" wrapText="1"/>
    </xf>
    <xf numFmtId="0" fontId="48" fillId="0" borderId="8" xfId="0" applyFont="1" applyBorder="1" applyAlignment="1" applyProtection="1">
      <alignment horizontal="center" vertical="center" wrapText="1"/>
    </xf>
    <xf numFmtId="0" fontId="48" fillId="0" borderId="5" xfId="0" applyFont="1" applyBorder="1" applyAlignment="1" applyProtection="1">
      <alignment horizontal="center" vertical="center" wrapText="1"/>
    </xf>
    <xf numFmtId="0" fontId="48" fillId="0" borderId="4" xfId="0" applyFont="1" applyBorder="1" applyAlignment="1" applyProtection="1">
      <alignment horizontal="justify" vertical="center" wrapText="1"/>
    </xf>
    <xf numFmtId="0" fontId="48" fillId="0" borderId="8" xfId="0" applyFont="1" applyBorder="1" applyAlignment="1" applyProtection="1">
      <alignment horizontal="justify" vertical="center"/>
    </xf>
    <xf numFmtId="0" fontId="6" fillId="0" borderId="5" xfId="0"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9" borderId="7"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Border="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Border="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Border="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Border="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0"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wrapText="1"/>
    </xf>
    <xf numFmtId="0" fontId="20" fillId="11" borderId="76" xfId="0" applyFont="1" applyFill="1" applyBorder="1" applyAlignment="1" applyProtection="1">
      <alignment horizontal="center" vertical="center" wrapText="1" readingOrder="1"/>
      <protection hidden="1"/>
    </xf>
    <xf numFmtId="0" fontId="17" fillId="0" borderId="0" xfId="0" applyFont="1" applyBorder="1" applyAlignment="1">
      <alignment horizontal="center" vertical="center" wrapText="1"/>
    </xf>
    <xf numFmtId="0" fontId="20" fillId="11" borderId="77" xfId="0" applyFont="1" applyFill="1" applyBorder="1" applyAlignment="1" applyProtection="1">
      <alignment horizontal="center" vertical="center" wrapText="1" readingOrder="1"/>
      <protection hidden="1"/>
    </xf>
    <xf numFmtId="0" fontId="20" fillId="12" borderId="13"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4" fillId="0" borderId="0" xfId="0" applyFont="1" applyAlignment="1">
      <alignment horizontal="center" vertical="center" wrapText="1"/>
    </xf>
    <xf numFmtId="0" fontId="20" fillId="11" borderId="75" xfId="0" applyFont="1" applyFill="1" applyBorder="1" applyAlignment="1" applyProtection="1">
      <alignment horizontal="center" vertic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Border="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597">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guzm/Downloads/Mapa_riesgos_ERU_2022_Atenci&#243;n%20al%20Ciudadano%2029.0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directiva y accionistas y/o de proveedores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B37" zoomScale="110" zoomScaleNormal="110" workbookViewId="0">
      <selection activeCell="B43" sqref="B43:H43"/>
    </sheetView>
  </sheetViews>
  <sheetFormatPr baseColWidth="10" defaultColWidth="11.453125" defaultRowHeight="14.5" x14ac:dyDescent="0.35"/>
  <cols>
    <col min="1" max="1" width="2.81640625" style="56" customWidth="1"/>
    <col min="2" max="3" width="24.7265625" style="56" customWidth="1"/>
    <col min="4" max="4" width="16" style="56" customWidth="1"/>
    <col min="5" max="5" width="24.7265625" style="56" customWidth="1"/>
    <col min="6" max="6" width="27.7265625" style="56" customWidth="1"/>
    <col min="7" max="8" width="24.7265625" style="56" customWidth="1"/>
    <col min="9" max="16384" width="11.453125" style="56"/>
  </cols>
  <sheetData>
    <row r="1" spans="2:8" ht="15" thickBot="1" x14ac:dyDescent="0.4"/>
    <row r="2" spans="2:8" ht="18" x14ac:dyDescent="0.35">
      <c r="B2" s="257" t="s">
        <v>140</v>
      </c>
      <c r="C2" s="258"/>
      <c r="D2" s="258"/>
      <c r="E2" s="258"/>
      <c r="F2" s="258"/>
      <c r="G2" s="258"/>
      <c r="H2" s="259"/>
    </row>
    <row r="3" spans="2:8" x14ac:dyDescent="0.35">
      <c r="B3" s="57"/>
      <c r="C3" s="58"/>
      <c r="D3" s="58"/>
      <c r="E3" s="58"/>
      <c r="F3" s="58"/>
      <c r="G3" s="58"/>
      <c r="H3" s="59"/>
    </row>
    <row r="4" spans="2:8" ht="63" customHeight="1" x14ac:dyDescent="0.35">
      <c r="B4" s="260" t="s">
        <v>183</v>
      </c>
      <c r="C4" s="261"/>
      <c r="D4" s="261"/>
      <c r="E4" s="261"/>
      <c r="F4" s="261"/>
      <c r="G4" s="261"/>
      <c r="H4" s="262"/>
    </row>
    <row r="5" spans="2:8" ht="63" customHeight="1" x14ac:dyDescent="0.35">
      <c r="B5" s="263"/>
      <c r="C5" s="264"/>
      <c r="D5" s="264"/>
      <c r="E5" s="264"/>
      <c r="F5" s="264"/>
      <c r="G5" s="264"/>
      <c r="H5" s="265"/>
    </row>
    <row r="6" spans="2:8" x14ac:dyDescent="0.35">
      <c r="B6" s="266" t="s">
        <v>138</v>
      </c>
      <c r="C6" s="267"/>
      <c r="D6" s="267"/>
      <c r="E6" s="267"/>
      <c r="F6" s="267"/>
      <c r="G6" s="267"/>
      <c r="H6" s="268"/>
    </row>
    <row r="7" spans="2:8" ht="95.25" customHeight="1" x14ac:dyDescent="0.35">
      <c r="B7" s="276" t="s">
        <v>143</v>
      </c>
      <c r="C7" s="277"/>
      <c r="D7" s="277"/>
      <c r="E7" s="277"/>
      <c r="F7" s="277"/>
      <c r="G7" s="277"/>
      <c r="H7" s="278"/>
    </row>
    <row r="8" spans="2:8" x14ac:dyDescent="0.35">
      <c r="B8" s="94"/>
      <c r="C8" s="95"/>
      <c r="D8" s="95"/>
      <c r="E8" s="95"/>
      <c r="F8" s="95"/>
      <c r="G8" s="95"/>
      <c r="H8" s="96"/>
    </row>
    <row r="9" spans="2:8" ht="16.5" customHeight="1" x14ac:dyDescent="0.35">
      <c r="B9" s="269" t="s">
        <v>176</v>
      </c>
      <c r="C9" s="270"/>
      <c r="D9" s="270"/>
      <c r="E9" s="270"/>
      <c r="F9" s="270"/>
      <c r="G9" s="270"/>
      <c r="H9" s="271"/>
    </row>
    <row r="10" spans="2:8" ht="44.25" customHeight="1" x14ac:dyDescent="0.35">
      <c r="B10" s="269"/>
      <c r="C10" s="270"/>
      <c r="D10" s="270"/>
      <c r="E10" s="270"/>
      <c r="F10" s="270"/>
      <c r="G10" s="270"/>
      <c r="H10" s="271"/>
    </row>
    <row r="11" spans="2:8" ht="15" thickBot="1" x14ac:dyDescent="0.4">
      <c r="B11" s="82"/>
      <c r="C11" s="85"/>
      <c r="D11" s="90"/>
      <c r="E11" s="91"/>
      <c r="F11" s="91"/>
      <c r="G11" s="92"/>
      <c r="H11" s="93"/>
    </row>
    <row r="12" spans="2:8" ht="15" thickTop="1" x14ac:dyDescent="0.35">
      <c r="B12" s="82"/>
      <c r="C12" s="272" t="s">
        <v>139</v>
      </c>
      <c r="D12" s="273"/>
      <c r="E12" s="274" t="s">
        <v>177</v>
      </c>
      <c r="F12" s="275"/>
      <c r="G12" s="85"/>
      <c r="H12" s="86"/>
    </row>
    <row r="13" spans="2:8" ht="35.25" customHeight="1" x14ac:dyDescent="0.35">
      <c r="B13" s="82"/>
      <c r="C13" s="244" t="s">
        <v>170</v>
      </c>
      <c r="D13" s="245"/>
      <c r="E13" s="246" t="s">
        <v>175</v>
      </c>
      <c r="F13" s="247"/>
      <c r="G13" s="85"/>
      <c r="H13" s="86"/>
    </row>
    <row r="14" spans="2:8" ht="17.25" customHeight="1" x14ac:dyDescent="0.35">
      <c r="B14" s="82"/>
      <c r="C14" s="244" t="s">
        <v>171</v>
      </c>
      <c r="D14" s="245"/>
      <c r="E14" s="246" t="s">
        <v>173</v>
      </c>
      <c r="F14" s="247"/>
      <c r="G14" s="85"/>
      <c r="H14" s="86"/>
    </row>
    <row r="15" spans="2:8" ht="19.5" customHeight="1" x14ac:dyDescent="0.35">
      <c r="B15" s="82"/>
      <c r="C15" s="244" t="s">
        <v>172</v>
      </c>
      <c r="D15" s="245"/>
      <c r="E15" s="246" t="s">
        <v>174</v>
      </c>
      <c r="F15" s="247"/>
      <c r="G15" s="85"/>
      <c r="H15" s="86"/>
    </row>
    <row r="16" spans="2:8" ht="69.75" customHeight="1" x14ac:dyDescent="0.35">
      <c r="B16" s="82"/>
      <c r="C16" s="244" t="s">
        <v>141</v>
      </c>
      <c r="D16" s="245"/>
      <c r="E16" s="246" t="s">
        <v>142</v>
      </c>
      <c r="F16" s="247"/>
      <c r="G16" s="85"/>
      <c r="H16" s="86"/>
    </row>
    <row r="17" spans="2:8" ht="34.5" customHeight="1" x14ac:dyDescent="0.35">
      <c r="B17" s="82"/>
      <c r="C17" s="248" t="s">
        <v>2</v>
      </c>
      <c r="D17" s="249"/>
      <c r="E17" s="240" t="s">
        <v>184</v>
      </c>
      <c r="F17" s="241"/>
      <c r="G17" s="85"/>
      <c r="H17" s="86"/>
    </row>
    <row r="18" spans="2:8" ht="27.75" customHeight="1" x14ac:dyDescent="0.35">
      <c r="B18" s="82"/>
      <c r="C18" s="248" t="s">
        <v>3</v>
      </c>
      <c r="D18" s="249"/>
      <c r="E18" s="240" t="s">
        <v>185</v>
      </c>
      <c r="F18" s="241"/>
      <c r="G18" s="85"/>
      <c r="H18" s="86"/>
    </row>
    <row r="19" spans="2:8" ht="28.5" customHeight="1" x14ac:dyDescent="0.35">
      <c r="B19" s="82"/>
      <c r="C19" s="248" t="s">
        <v>38</v>
      </c>
      <c r="D19" s="249"/>
      <c r="E19" s="240" t="s">
        <v>186</v>
      </c>
      <c r="F19" s="241"/>
      <c r="G19" s="85"/>
      <c r="H19" s="86"/>
    </row>
    <row r="20" spans="2:8" ht="72.75" customHeight="1" x14ac:dyDescent="0.35">
      <c r="B20" s="82"/>
      <c r="C20" s="248" t="s">
        <v>1</v>
      </c>
      <c r="D20" s="249"/>
      <c r="E20" s="240" t="s">
        <v>187</v>
      </c>
      <c r="F20" s="241"/>
      <c r="G20" s="85"/>
      <c r="H20" s="86"/>
    </row>
    <row r="21" spans="2:8" ht="64.5" customHeight="1" x14ac:dyDescent="0.35">
      <c r="B21" s="82"/>
      <c r="C21" s="248" t="s">
        <v>44</v>
      </c>
      <c r="D21" s="249"/>
      <c r="E21" s="240" t="s">
        <v>145</v>
      </c>
      <c r="F21" s="241"/>
      <c r="G21" s="85"/>
      <c r="H21" s="86"/>
    </row>
    <row r="22" spans="2:8" ht="71.25" customHeight="1" x14ac:dyDescent="0.35">
      <c r="B22" s="82"/>
      <c r="C22" s="248" t="s">
        <v>144</v>
      </c>
      <c r="D22" s="249"/>
      <c r="E22" s="240" t="s">
        <v>146</v>
      </c>
      <c r="F22" s="241"/>
      <c r="G22" s="85"/>
      <c r="H22" s="86"/>
    </row>
    <row r="23" spans="2:8" ht="55.5" customHeight="1" x14ac:dyDescent="0.35">
      <c r="B23" s="82"/>
      <c r="C23" s="242" t="s">
        <v>147</v>
      </c>
      <c r="D23" s="243"/>
      <c r="E23" s="240" t="s">
        <v>148</v>
      </c>
      <c r="F23" s="241"/>
      <c r="G23" s="85"/>
      <c r="H23" s="86"/>
    </row>
    <row r="24" spans="2:8" ht="42" customHeight="1" x14ac:dyDescent="0.35">
      <c r="B24" s="82"/>
      <c r="C24" s="242" t="s">
        <v>42</v>
      </c>
      <c r="D24" s="243"/>
      <c r="E24" s="240" t="s">
        <v>149</v>
      </c>
      <c r="F24" s="241"/>
      <c r="G24" s="85"/>
      <c r="H24" s="86"/>
    </row>
    <row r="25" spans="2:8" ht="59.25" customHeight="1" x14ac:dyDescent="0.35">
      <c r="B25" s="82"/>
      <c r="C25" s="242" t="s">
        <v>137</v>
      </c>
      <c r="D25" s="243"/>
      <c r="E25" s="240" t="s">
        <v>150</v>
      </c>
      <c r="F25" s="241"/>
      <c r="G25" s="85"/>
      <c r="H25" s="86"/>
    </row>
    <row r="26" spans="2:8" ht="23.25" customHeight="1" x14ac:dyDescent="0.35">
      <c r="B26" s="82"/>
      <c r="C26" s="242" t="s">
        <v>12</v>
      </c>
      <c r="D26" s="243"/>
      <c r="E26" s="240" t="s">
        <v>151</v>
      </c>
      <c r="F26" s="241"/>
      <c r="G26" s="85"/>
      <c r="H26" s="86"/>
    </row>
    <row r="27" spans="2:8" ht="30.75" customHeight="1" x14ac:dyDescent="0.35">
      <c r="B27" s="82"/>
      <c r="C27" s="242" t="s">
        <v>155</v>
      </c>
      <c r="D27" s="243"/>
      <c r="E27" s="240" t="s">
        <v>152</v>
      </c>
      <c r="F27" s="241"/>
      <c r="G27" s="85"/>
      <c r="H27" s="86"/>
    </row>
    <row r="28" spans="2:8" ht="35.25" customHeight="1" x14ac:dyDescent="0.35">
      <c r="B28" s="82"/>
      <c r="C28" s="242" t="s">
        <v>156</v>
      </c>
      <c r="D28" s="243"/>
      <c r="E28" s="240" t="s">
        <v>153</v>
      </c>
      <c r="F28" s="241"/>
      <c r="G28" s="85"/>
      <c r="H28" s="86"/>
    </row>
    <row r="29" spans="2:8" ht="33" customHeight="1" x14ac:dyDescent="0.35">
      <c r="B29" s="82"/>
      <c r="C29" s="242" t="s">
        <v>156</v>
      </c>
      <c r="D29" s="243"/>
      <c r="E29" s="240" t="s">
        <v>153</v>
      </c>
      <c r="F29" s="241"/>
      <c r="G29" s="85"/>
      <c r="H29" s="86"/>
    </row>
    <row r="30" spans="2:8" ht="30" customHeight="1" x14ac:dyDescent="0.35">
      <c r="B30" s="82"/>
      <c r="C30" s="242" t="s">
        <v>157</v>
      </c>
      <c r="D30" s="243"/>
      <c r="E30" s="240" t="s">
        <v>154</v>
      </c>
      <c r="F30" s="241"/>
      <c r="G30" s="85"/>
      <c r="H30" s="86"/>
    </row>
    <row r="31" spans="2:8" ht="35.25" customHeight="1" x14ac:dyDescent="0.35">
      <c r="B31" s="82"/>
      <c r="C31" s="242" t="s">
        <v>158</v>
      </c>
      <c r="D31" s="243"/>
      <c r="E31" s="240" t="s">
        <v>159</v>
      </c>
      <c r="F31" s="241"/>
      <c r="G31" s="85"/>
      <c r="H31" s="86"/>
    </row>
    <row r="32" spans="2:8" ht="31.5" customHeight="1" x14ac:dyDescent="0.35">
      <c r="B32" s="82"/>
      <c r="C32" s="242" t="s">
        <v>160</v>
      </c>
      <c r="D32" s="243"/>
      <c r="E32" s="240" t="s">
        <v>161</v>
      </c>
      <c r="F32" s="241"/>
      <c r="G32" s="85"/>
      <c r="H32" s="86"/>
    </row>
    <row r="33" spans="2:8" ht="35.25" customHeight="1" x14ac:dyDescent="0.35">
      <c r="B33" s="82"/>
      <c r="C33" s="242" t="s">
        <v>162</v>
      </c>
      <c r="D33" s="243"/>
      <c r="E33" s="240" t="s">
        <v>163</v>
      </c>
      <c r="F33" s="241"/>
      <c r="G33" s="85"/>
      <c r="H33" s="86"/>
    </row>
    <row r="34" spans="2:8" ht="59.25" customHeight="1" x14ac:dyDescent="0.35">
      <c r="B34" s="82"/>
      <c r="C34" s="242" t="s">
        <v>164</v>
      </c>
      <c r="D34" s="243"/>
      <c r="E34" s="240" t="s">
        <v>165</v>
      </c>
      <c r="F34" s="241"/>
      <c r="G34" s="85"/>
      <c r="H34" s="86"/>
    </row>
    <row r="35" spans="2:8" ht="29.25" customHeight="1" x14ac:dyDescent="0.35">
      <c r="B35" s="82"/>
      <c r="C35" s="242" t="s">
        <v>29</v>
      </c>
      <c r="D35" s="243"/>
      <c r="E35" s="240" t="s">
        <v>166</v>
      </c>
      <c r="F35" s="241"/>
      <c r="G35" s="85"/>
      <c r="H35" s="86"/>
    </row>
    <row r="36" spans="2:8" ht="82.5" customHeight="1" x14ac:dyDescent="0.35">
      <c r="B36" s="82"/>
      <c r="C36" s="242" t="s">
        <v>168</v>
      </c>
      <c r="D36" s="243"/>
      <c r="E36" s="240" t="s">
        <v>167</v>
      </c>
      <c r="F36" s="241"/>
      <c r="G36" s="85"/>
      <c r="H36" s="86"/>
    </row>
    <row r="37" spans="2:8" ht="46.5" customHeight="1" x14ac:dyDescent="0.35">
      <c r="B37" s="82"/>
      <c r="C37" s="242" t="s">
        <v>35</v>
      </c>
      <c r="D37" s="243"/>
      <c r="E37" s="240" t="s">
        <v>169</v>
      </c>
      <c r="F37" s="241"/>
      <c r="G37" s="85"/>
      <c r="H37" s="86"/>
    </row>
    <row r="38" spans="2:8" ht="6.75" customHeight="1" thickBot="1" x14ac:dyDescent="0.4">
      <c r="B38" s="82"/>
      <c r="C38" s="253"/>
      <c r="D38" s="254"/>
      <c r="E38" s="255"/>
      <c r="F38" s="256"/>
      <c r="G38" s="85"/>
      <c r="H38" s="86"/>
    </row>
    <row r="39" spans="2:8" ht="15" thickTop="1" x14ac:dyDescent="0.35">
      <c r="B39" s="82"/>
      <c r="C39" s="83"/>
      <c r="D39" s="83"/>
      <c r="E39" s="84"/>
      <c r="F39" s="84"/>
      <c r="G39" s="85"/>
      <c r="H39" s="86"/>
    </row>
    <row r="40" spans="2:8" ht="21" customHeight="1" x14ac:dyDescent="0.35">
      <c r="B40" s="250" t="s">
        <v>178</v>
      </c>
      <c r="C40" s="251"/>
      <c r="D40" s="251"/>
      <c r="E40" s="251"/>
      <c r="F40" s="251"/>
      <c r="G40" s="251"/>
      <c r="H40" s="252"/>
    </row>
    <row r="41" spans="2:8" ht="20.25" customHeight="1" x14ac:dyDescent="0.35">
      <c r="B41" s="250" t="s">
        <v>179</v>
      </c>
      <c r="C41" s="251"/>
      <c r="D41" s="251"/>
      <c r="E41" s="251"/>
      <c r="F41" s="251"/>
      <c r="G41" s="251"/>
      <c r="H41" s="252"/>
    </row>
    <row r="42" spans="2:8" ht="20.25" customHeight="1" x14ac:dyDescent="0.35">
      <c r="B42" s="250" t="s">
        <v>180</v>
      </c>
      <c r="C42" s="251"/>
      <c r="D42" s="251"/>
      <c r="E42" s="251"/>
      <c r="F42" s="251"/>
      <c r="G42" s="251"/>
      <c r="H42" s="252"/>
    </row>
    <row r="43" spans="2:8" ht="20.25" customHeight="1" x14ac:dyDescent="0.35">
      <c r="B43" s="250" t="s">
        <v>181</v>
      </c>
      <c r="C43" s="251"/>
      <c r="D43" s="251"/>
      <c r="E43" s="251"/>
      <c r="F43" s="251"/>
      <c r="G43" s="251"/>
      <c r="H43" s="252"/>
    </row>
    <row r="44" spans="2:8" x14ac:dyDescent="0.35">
      <c r="B44" s="250" t="s">
        <v>182</v>
      </c>
      <c r="C44" s="251"/>
      <c r="D44" s="251"/>
      <c r="E44" s="251"/>
      <c r="F44" s="251"/>
      <c r="G44" s="251"/>
      <c r="H44" s="252"/>
    </row>
    <row r="45" spans="2:8" ht="15" thickBot="1" x14ac:dyDescent="0.4">
      <c r="B45" s="87"/>
      <c r="C45" s="88"/>
      <c r="D45" s="88"/>
      <c r="E45" s="88"/>
      <c r="F45" s="88"/>
      <c r="G45" s="88"/>
      <c r="H45" s="89"/>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48"/>
  <sheetViews>
    <sheetView topLeftCell="A240" zoomScale="60" zoomScaleNormal="60" workbookViewId="0">
      <selection activeCell="O273" sqref="O273"/>
    </sheetView>
  </sheetViews>
  <sheetFormatPr baseColWidth="10" defaultRowHeight="14.5" x14ac:dyDescent="0.35"/>
  <cols>
    <col min="2" max="9" width="5.7265625" customWidth="1"/>
    <col min="10" max="10" width="10.54296875" bestFit="1" customWidth="1"/>
    <col min="11" max="12" width="11" bestFit="1" customWidth="1"/>
    <col min="13" max="13" width="10.54296875" bestFit="1" customWidth="1"/>
    <col min="14" max="15" width="11" bestFit="1" customWidth="1"/>
    <col min="16" max="16" width="10.81640625" customWidth="1"/>
    <col min="17" max="17" width="11" bestFit="1" customWidth="1"/>
    <col min="18" max="18" width="11" customWidth="1"/>
    <col min="19" max="19" width="10.54296875" bestFit="1" customWidth="1"/>
    <col min="20" max="21" width="11" customWidth="1"/>
    <col min="22" max="22" width="10.81640625" bestFit="1" customWidth="1"/>
    <col min="23" max="24" width="9.7265625" customWidth="1"/>
    <col min="26" max="31" width="5.7265625" customWidth="1"/>
  </cols>
  <sheetData>
    <row r="1" spans="1:76" x14ac:dyDescent="0.35">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row>
    <row r="2" spans="1:76" ht="18" customHeight="1" x14ac:dyDescent="0.35">
      <c r="A2" s="56"/>
      <c r="B2" s="297" t="s">
        <v>134</v>
      </c>
      <c r="C2" s="298"/>
      <c r="D2" s="298"/>
      <c r="E2" s="298"/>
      <c r="F2" s="298"/>
      <c r="G2" s="298"/>
      <c r="H2" s="298"/>
      <c r="I2" s="298"/>
      <c r="J2" s="299" t="s">
        <v>2</v>
      </c>
      <c r="K2" s="299"/>
      <c r="L2" s="299"/>
      <c r="M2" s="299"/>
      <c r="N2" s="299"/>
      <c r="O2" s="299"/>
      <c r="P2" s="299"/>
      <c r="Q2" s="299"/>
      <c r="R2" s="299"/>
      <c r="S2" s="299"/>
      <c r="T2" s="299"/>
      <c r="U2" s="299"/>
      <c r="V2" s="299"/>
      <c r="W2" s="299"/>
      <c r="X2" s="299"/>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row>
    <row r="3" spans="1:76" ht="18.75" customHeight="1" x14ac:dyDescent="0.35">
      <c r="A3" s="56"/>
      <c r="B3" s="298"/>
      <c r="C3" s="298"/>
      <c r="D3" s="298"/>
      <c r="E3" s="298"/>
      <c r="F3" s="298"/>
      <c r="G3" s="298"/>
      <c r="H3" s="298"/>
      <c r="I3" s="298"/>
      <c r="J3" s="299"/>
      <c r="K3" s="299"/>
      <c r="L3" s="299"/>
      <c r="M3" s="299"/>
      <c r="N3" s="299"/>
      <c r="O3" s="299"/>
      <c r="P3" s="299"/>
      <c r="Q3" s="299"/>
      <c r="R3" s="299"/>
      <c r="S3" s="299"/>
      <c r="T3" s="299"/>
      <c r="U3" s="299"/>
      <c r="V3" s="299"/>
      <c r="W3" s="299"/>
      <c r="X3" s="299"/>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row>
    <row r="4" spans="1:76" ht="15" customHeight="1" x14ac:dyDescent="0.35">
      <c r="A4" s="56"/>
      <c r="B4" s="298"/>
      <c r="C4" s="298"/>
      <c r="D4" s="298"/>
      <c r="E4" s="298"/>
      <c r="F4" s="298"/>
      <c r="G4" s="298"/>
      <c r="H4" s="298"/>
      <c r="I4" s="298"/>
      <c r="J4" s="299"/>
      <c r="K4" s="299"/>
      <c r="L4" s="299"/>
      <c r="M4" s="299"/>
      <c r="N4" s="299"/>
      <c r="O4" s="299"/>
      <c r="P4" s="299"/>
      <c r="Q4" s="299"/>
      <c r="R4" s="299"/>
      <c r="S4" s="299"/>
      <c r="T4" s="299"/>
      <c r="U4" s="299"/>
      <c r="V4" s="299"/>
      <c r="W4" s="299"/>
      <c r="X4" s="299"/>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row>
    <row r="5" spans="1:76" ht="15" thickBot="1" x14ac:dyDescent="0.4">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row>
    <row r="6" spans="1:76" ht="15" customHeight="1" x14ac:dyDescent="0.35">
      <c r="A6" s="56"/>
      <c r="B6" s="300" t="s">
        <v>4</v>
      </c>
      <c r="C6" s="300"/>
      <c r="D6" s="301"/>
      <c r="E6" s="285" t="s">
        <v>107</v>
      </c>
      <c r="F6" s="286"/>
      <c r="G6" s="286"/>
      <c r="H6" s="286"/>
      <c r="I6" s="286"/>
      <c r="J6" s="102" t="str">
        <f>IF(AND('Mapa final'!$AB$7="Muy Alta",'Mapa final'!$AD$7="Leve"),CONCATENATE("R1C",'Mapa final'!$R$7),"")</f>
        <v/>
      </c>
      <c r="K6" s="103" t="str">
        <f>IF(AND('Mapa final'!$AB$8="Muy Alta",'Mapa final'!$AD$8="Leve"),CONCATENATE("R1C",'Mapa final'!$R$8),"")</f>
        <v/>
      </c>
      <c r="L6" s="104" t="str">
        <f>IF(AND('Mapa final'!$AB$9="Muy Alta",'Mapa final'!$AD$9="Leve"),CONCATENATE("R1C",'Mapa final'!$R$9),"")</f>
        <v/>
      </c>
      <c r="M6" s="102" t="str">
        <f>IF(AND('Mapa final'!$AB$7="Muy Alta",'Mapa final'!$AD$7="Menor"),CONCATENATE("R1C",'Mapa final'!$R$7),"")</f>
        <v/>
      </c>
      <c r="N6" s="103" t="str">
        <f>IF(AND('Mapa final'!$AB$8="Muy Alta",'Mapa final'!$AD$8="Menor"),CONCATENATE("R1C",'Mapa final'!$R$8),"")</f>
        <v/>
      </c>
      <c r="O6" s="104" t="str">
        <f>IF(AND('Mapa final'!$AB$9="Muy Alta",'Mapa final'!$AD$9="Menor"),CONCATENATE("R1C",'Mapa final'!$R$9),"")</f>
        <v/>
      </c>
      <c r="P6" s="102" t="str">
        <f>IF(AND('Mapa final'!$AB$7="Muy Alta",'Mapa final'!$AD$7="Moderado"),CONCATENATE("R1C",'Mapa final'!$R$7),"")</f>
        <v/>
      </c>
      <c r="Q6" s="103" t="str">
        <f>IF(AND('Mapa final'!$AB$8="Muy Alta",'Mapa final'!$AD$8="Moderado"),CONCATENATE("R1C",'Mapa final'!$R$8),"")</f>
        <v/>
      </c>
      <c r="R6" s="104" t="str">
        <f>IF(AND('Mapa final'!$AB$9="Muy Alta",'Mapa final'!$AD$9="Moderado"),CONCATENATE("R1C",'Mapa final'!$R$9),"")</f>
        <v/>
      </c>
      <c r="S6" s="102" t="str">
        <f>IF(AND('Mapa final'!$AB$7="Muy Alta",'Mapa final'!$AD$7="Mayor"),CONCATENATE("R1C",'Mapa final'!$R$7),"")</f>
        <v/>
      </c>
      <c r="T6" s="103" t="str">
        <f>IF(AND('Mapa final'!$AB$8="Muy Alta",'Mapa final'!$AD$8="Mayor"),CONCATENATE("R1C",'Mapa final'!$R$8),"")</f>
        <v/>
      </c>
      <c r="U6" s="104" t="str">
        <f>IF(AND('Mapa final'!$AB$9="Muy Alta",'Mapa final'!$AD$9="Mayor"),CONCATENATE("R1C",'Mapa final'!$R$9),"")</f>
        <v/>
      </c>
      <c r="V6" s="40" t="str">
        <f>IF(AND('Mapa final'!$AB$7="Muy Alta",'Mapa final'!$AD$7="Catastrófico"),CONCATENATE("R1C",'Mapa final'!$R$7),"")</f>
        <v/>
      </c>
      <c r="W6" s="41" t="str">
        <f>IF(AND('Mapa final'!$AB$8="Muy Alta",'Mapa final'!$AD$8="Catastrófico"),CONCATENATE("R1C",'Mapa final'!$R$8),"")</f>
        <v/>
      </c>
      <c r="X6" s="99" t="str">
        <f>IF(AND('Mapa final'!$AB$9="Muy Alta",'Mapa final'!$AD$9="Catastrófico"),CONCATENATE("R1C",'Mapa final'!$R$9),"")</f>
        <v/>
      </c>
      <c r="Y6" s="56"/>
      <c r="Z6" s="291" t="s">
        <v>73</v>
      </c>
      <c r="AA6" s="292"/>
      <c r="AB6" s="292"/>
      <c r="AC6" s="292"/>
      <c r="AD6" s="292"/>
      <c r="AE6" s="293"/>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row>
    <row r="7" spans="1:76" ht="15" customHeight="1" x14ac:dyDescent="0.35">
      <c r="A7" s="56"/>
      <c r="B7" s="300"/>
      <c r="C7" s="300"/>
      <c r="D7" s="301"/>
      <c r="E7" s="289"/>
      <c r="F7" s="290"/>
      <c r="G7" s="290"/>
      <c r="H7" s="290"/>
      <c r="I7" s="288"/>
      <c r="J7" s="105" t="str">
        <f>IF(AND('Mapa final'!$AB$10="Muy Alta",'Mapa final'!$AD$10="Leve"),CONCATENATE("R2C",'Mapa final'!$R$10),"")</f>
        <v/>
      </c>
      <c r="K7" s="42" t="str">
        <f>IF(AND('Mapa final'!$AB$11="Muy Alta",'Mapa final'!$AD$11="Leve"),CONCATENATE("R2C",'Mapa final'!$R$11),"")</f>
        <v/>
      </c>
      <c r="L7" s="106" t="str">
        <f>IF(AND('Mapa final'!$AB$12="Muy Alta",'Mapa final'!$AD$12="Leve"),CONCATENATE("R2C",'Mapa final'!$R$12),"")</f>
        <v/>
      </c>
      <c r="M7" s="105" t="str">
        <f>IF(AND('Mapa final'!$AB$10="Muy Alta",'Mapa final'!$AD$10="Menor"),CONCATENATE("R2C",'Mapa final'!$R$10),"")</f>
        <v/>
      </c>
      <c r="N7" s="42" t="str">
        <f>IF(AND('Mapa final'!$AB$11="Muy Alta",'Mapa final'!$AD$11="Menor"),CONCATENATE("R2C",'Mapa final'!$R$11),"")</f>
        <v/>
      </c>
      <c r="O7" s="106" t="str">
        <f>IF(AND('Mapa final'!$AB$12="Muy Alta",'Mapa final'!$AD$12="Menor"),CONCATENATE("R2C",'Mapa final'!$R$12),"")</f>
        <v/>
      </c>
      <c r="P7" s="105" t="str">
        <f>IF(AND('Mapa final'!$AB$10="Muy Alta",'Mapa final'!$AD$10="Moderado"),CONCATENATE("R2C",'Mapa final'!$R$10),"")</f>
        <v/>
      </c>
      <c r="Q7" s="42" t="str">
        <f>IF(AND('Mapa final'!$AB$11="Muy Alta",'Mapa final'!$AD$11="Moderado"),CONCATENATE("R2C",'Mapa final'!$R$11),"")</f>
        <v/>
      </c>
      <c r="R7" s="106" t="str">
        <f>IF(AND('Mapa final'!$AB$12="Muy Alta",'Mapa final'!$AD$12="Moderado"),CONCATENATE("R2C",'Mapa final'!$R$12),"")</f>
        <v/>
      </c>
      <c r="S7" s="105" t="str">
        <f>IF(AND('Mapa final'!$AB$10="Muy Alta",'Mapa final'!$AD$10="Mayor"),CONCATENATE("R2C",'Mapa final'!$R$10),"")</f>
        <v/>
      </c>
      <c r="T7" s="42" t="str">
        <f>IF(AND('Mapa final'!$AB$11="Muy Alta",'Mapa final'!$AD$11="Mayor"),CONCATENATE("R2C",'Mapa final'!$R$11),"")</f>
        <v/>
      </c>
      <c r="U7" s="106" t="str">
        <f>IF(AND('Mapa final'!$AB$12="Muy Alta",'Mapa final'!$AD$12="Mayor"),CONCATENATE("R2C",'Mapa final'!$R$12),"")</f>
        <v/>
      </c>
      <c r="V7" s="43" t="str">
        <f>IF(AND('Mapa final'!$AB$10="Muy Alta",'Mapa final'!$AD$10="Catastrófico"),CONCATENATE("R2C",'Mapa final'!$R$10),"")</f>
        <v/>
      </c>
      <c r="W7" s="44" t="str">
        <f>IF(AND('Mapa final'!$AB$11="Muy Alta",'Mapa final'!$AD$11="Catastrófico"),CONCATENATE("R2C",'Mapa final'!$R$11),"")</f>
        <v/>
      </c>
      <c r="X7" s="100" t="str">
        <f>IF(AND('Mapa final'!$AB$12="Muy Alta",'Mapa final'!$AD$12="Catastrófico"),CONCATENATE("R2C",'Mapa final'!$R$12),"")</f>
        <v/>
      </c>
      <c r="Y7" s="56"/>
      <c r="Z7" s="294"/>
      <c r="AA7" s="295"/>
      <c r="AB7" s="295"/>
      <c r="AC7" s="295"/>
      <c r="AD7" s="295"/>
      <c r="AE7" s="29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row>
    <row r="8" spans="1:76" ht="15" customHeight="1" x14ac:dyDescent="0.35">
      <c r="A8" s="56"/>
      <c r="B8" s="300"/>
      <c r="C8" s="300"/>
      <c r="D8" s="301"/>
      <c r="E8" s="289"/>
      <c r="F8" s="290"/>
      <c r="G8" s="290"/>
      <c r="H8" s="290"/>
      <c r="I8" s="288"/>
      <c r="J8" s="105" t="str">
        <f>IF(AND('Mapa final'!$AB$13="Muy Alta",'Mapa final'!$AD$13="Leve"),CONCATENATE("R3C",'Mapa final'!$R$13),"")</f>
        <v/>
      </c>
      <c r="K8" s="42" t="str">
        <f>IF(AND('Mapa final'!$AB$14="Muy Alta",'Mapa final'!$AD$14="Leve"),CONCATENATE("R3C",'Mapa final'!$R$14),"")</f>
        <v/>
      </c>
      <c r="L8" s="106" t="str">
        <f>IF(AND('Mapa final'!$AB$15="Muy Alta",'Mapa final'!$AD$15="Leve"),CONCATENATE("R3C",'Mapa final'!$R$15),"")</f>
        <v/>
      </c>
      <c r="M8" s="105" t="str">
        <f>IF(AND('Mapa final'!$AB$13="Muy Alta",'Mapa final'!$AD$13="Menor"),CONCATENATE("R3C",'Mapa final'!$R$13),"")</f>
        <v/>
      </c>
      <c r="N8" s="42" t="str">
        <f>IF(AND('Mapa final'!$AB$14="Muy Alta",'Mapa final'!$AD$14="Menor"),CONCATENATE("R3C",'Mapa final'!$R$14),"")</f>
        <v/>
      </c>
      <c r="O8" s="106" t="str">
        <f>IF(AND('Mapa final'!$AB$15="Muy Alta",'Mapa final'!$AD$15="Menor"),CONCATENATE("R3C",'Mapa final'!$R$15),"")</f>
        <v/>
      </c>
      <c r="P8" s="105" t="str">
        <f>IF(AND('Mapa final'!$AB$13="Muy Alta",'Mapa final'!$AD$13="Moderado"),CONCATENATE("R3C",'Mapa final'!$R$13),"")</f>
        <v/>
      </c>
      <c r="Q8" s="42" t="str">
        <f>IF(AND('Mapa final'!$AB$14="Muy Alta",'Mapa final'!$AD$14="Moderado"),CONCATENATE("R3C",'Mapa final'!$R$14),"")</f>
        <v/>
      </c>
      <c r="R8" s="106" t="str">
        <f>IF(AND('Mapa final'!$AB$15="Muy Alta",'Mapa final'!$AD$15="Moderado"),CONCATENATE("R3C",'Mapa final'!$R$15),"")</f>
        <v/>
      </c>
      <c r="S8" s="105" t="str">
        <f>IF(AND('Mapa final'!$AB$13="Muy Alta",'Mapa final'!$AD$13="Mayor"),CONCATENATE("R3C",'Mapa final'!$R$13),"")</f>
        <v/>
      </c>
      <c r="T8" s="42" t="str">
        <f>IF(AND('Mapa final'!$AB$14="Muy Alta",'Mapa final'!$AD$14="Mayor"),CONCATENATE("R3C",'Mapa final'!$R$14),"")</f>
        <v/>
      </c>
      <c r="U8" s="106" t="str">
        <f>IF(AND('Mapa final'!$AB$15="Muy Alta",'Mapa final'!$AD$15="Mayor"),CONCATENATE("R3C",'Mapa final'!$R$15),"")</f>
        <v/>
      </c>
      <c r="V8" s="43" t="str">
        <f>IF(AND('Mapa final'!$AB$13="Muy Alta",'Mapa final'!$AD$13="Catastrófico"),CONCATENATE("R3C",'Mapa final'!$R$13),"")</f>
        <v/>
      </c>
      <c r="W8" s="44" t="str">
        <f>IF(AND('Mapa final'!$AB$14="Muy Alta",'Mapa final'!$AD$14="Catastrófico"),CONCATENATE("R3C",'Mapa final'!$R$14),"")</f>
        <v/>
      </c>
      <c r="X8" s="100" t="str">
        <f>IF(AND('Mapa final'!$AB$15="Muy Alta",'Mapa final'!$AD$15="Catastrófico"),CONCATENATE("R3C",'Mapa final'!$R$15),"")</f>
        <v/>
      </c>
      <c r="Y8" s="56"/>
      <c r="Z8" s="294"/>
      <c r="AA8" s="295"/>
      <c r="AB8" s="295"/>
      <c r="AC8" s="295"/>
      <c r="AD8" s="295"/>
      <c r="AE8" s="29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row>
    <row r="9" spans="1:76" ht="15" customHeight="1" x14ac:dyDescent="0.35">
      <c r="A9" s="56"/>
      <c r="B9" s="300"/>
      <c r="C9" s="300"/>
      <c r="D9" s="301"/>
      <c r="E9" s="289"/>
      <c r="F9" s="290"/>
      <c r="G9" s="290"/>
      <c r="H9" s="290"/>
      <c r="I9" s="288"/>
      <c r="J9" s="105" t="e">
        <f>IF(AND('Mapa final'!#REF!="Muy Alta",'Mapa final'!#REF!="Leve"),CONCATENATE("R4C",'Mapa final'!#REF!),"")</f>
        <v>#REF!</v>
      </c>
      <c r="K9" s="42" t="e">
        <f>IF(AND('Mapa final'!#REF!="Muy Alta",'Mapa final'!#REF!="Leve"),CONCATENATE("R4C",'Mapa final'!#REF!),"")</f>
        <v>#REF!</v>
      </c>
      <c r="L9" s="106" t="e">
        <f>IF(AND('Mapa final'!#REF!="Muy Alta",'Mapa final'!#REF!="Leve"),CONCATENATE("R4C",'Mapa final'!#REF!),"")</f>
        <v>#REF!</v>
      </c>
      <c r="M9" s="105" t="e">
        <f>IF(AND('Mapa final'!#REF!="Muy Alta",'Mapa final'!#REF!="Menor"),CONCATENATE("R4C",'Mapa final'!#REF!),"")</f>
        <v>#REF!</v>
      </c>
      <c r="N9" s="42" t="e">
        <f>IF(AND('Mapa final'!#REF!="Muy Alta",'Mapa final'!#REF!="Menor"),CONCATENATE("R4C",'Mapa final'!#REF!),"")</f>
        <v>#REF!</v>
      </c>
      <c r="O9" s="106" t="e">
        <f>IF(AND('Mapa final'!#REF!="Muy Alta",'Mapa final'!#REF!="Menor"),CONCATENATE("R4C",'Mapa final'!#REF!),"")</f>
        <v>#REF!</v>
      </c>
      <c r="P9" s="105" t="e">
        <f>IF(AND('Mapa final'!#REF!="Muy Alta",'Mapa final'!#REF!="Moderado"),CONCATENATE("R4C",'Mapa final'!#REF!),"")</f>
        <v>#REF!</v>
      </c>
      <c r="Q9" s="42" t="e">
        <f>IF(AND('Mapa final'!#REF!="Muy Alta",'Mapa final'!#REF!="Moderado"),CONCATENATE("R4C",'Mapa final'!#REF!),"")</f>
        <v>#REF!</v>
      </c>
      <c r="R9" s="106" t="e">
        <f>IF(AND('Mapa final'!#REF!="Muy Alta",'Mapa final'!#REF!="Moderado"),CONCATENATE("R4C",'Mapa final'!#REF!),"")</f>
        <v>#REF!</v>
      </c>
      <c r="S9" s="105" t="e">
        <f>IF(AND('Mapa final'!#REF!="Muy Alta",'Mapa final'!#REF!="Mayor"),CONCATENATE("R4C",'Mapa final'!#REF!),"")</f>
        <v>#REF!</v>
      </c>
      <c r="T9" s="42" t="e">
        <f>IF(AND('Mapa final'!#REF!="Muy Alta",'Mapa final'!#REF!="Mayor"),CONCATENATE("R4C",'Mapa final'!#REF!),"")</f>
        <v>#REF!</v>
      </c>
      <c r="U9" s="106" t="e">
        <f>IF(AND('Mapa final'!#REF!="Muy Alta",'Mapa final'!#REF!="Mayor"),CONCATENATE("R4C",'Mapa final'!#REF!),"")</f>
        <v>#REF!</v>
      </c>
      <c r="V9" s="43" t="e">
        <f>IF(AND('Mapa final'!#REF!="Muy Alta",'Mapa final'!#REF!="Catastrófico"),CONCATENATE("R4C",'Mapa final'!#REF!),"")</f>
        <v>#REF!</v>
      </c>
      <c r="W9" s="44" t="e">
        <f>IF(AND('Mapa final'!#REF!="Muy Alta",'Mapa final'!#REF!="Catastrófico"),CONCATENATE("R4C",'Mapa final'!#REF!),"")</f>
        <v>#REF!</v>
      </c>
      <c r="X9" s="100" t="e">
        <f>IF(AND('Mapa final'!#REF!="Muy Alta",'Mapa final'!#REF!="Catastrófico"),CONCATENATE("R4C",'Mapa final'!#REF!),"")</f>
        <v>#REF!</v>
      </c>
      <c r="Y9" s="56"/>
      <c r="Z9" s="294"/>
      <c r="AA9" s="295"/>
      <c r="AB9" s="295"/>
      <c r="AC9" s="295"/>
      <c r="AD9" s="295"/>
      <c r="AE9" s="29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row>
    <row r="10" spans="1:76" ht="15" customHeight="1" x14ac:dyDescent="0.35">
      <c r="A10" s="56"/>
      <c r="B10" s="300"/>
      <c r="C10" s="300"/>
      <c r="D10" s="301"/>
      <c r="E10" s="289"/>
      <c r="F10" s="290"/>
      <c r="G10" s="290"/>
      <c r="H10" s="290"/>
      <c r="I10" s="288"/>
      <c r="J10" s="105" t="str">
        <f>IF(AND('Mapa final'!$AB$16="Muy Alta",'Mapa final'!$AD$16="Leve"),CONCATENATE("R5C",'Mapa final'!$R$16),"")</f>
        <v/>
      </c>
      <c r="K10" s="42" t="str">
        <f>IF(AND('Mapa final'!$AB$17="Muy Alta",'Mapa final'!$AD$17="Leve"),CONCATENATE("R5C",'Mapa final'!$R$17),"")</f>
        <v/>
      </c>
      <c r="L10" s="106" t="str">
        <f>IF(AND('Mapa final'!$AB$18="Muy Alta",'Mapa final'!$AD$18="Leve"),CONCATENATE("R5C",'Mapa final'!$R$18),"")</f>
        <v/>
      </c>
      <c r="M10" s="105" t="str">
        <f>IF(AND('Mapa final'!$AB$16="Muy Alta",'Mapa final'!$AD$16="Menor"),CONCATENATE("R5C",'Mapa final'!$R$16),"")</f>
        <v/>
      </c>
      <c r="N10" s="42" t="str">
        <f>IF(AND('Mapa final'!$AB$17="Muy Alta",'Mapa final'!$AD$17="Menor"),CONCATENATE("R5C",'Mapa final'!$R$17),"")</f>
        <v/>
      </c>
      <c r="O10" s="106" t="str">
        <f>IF(AND('Mapa final'!$AB$18="Muy Alta",'Mapa final'!$AD$18="Menor"),CONCATENATE("R5C",'Mapa final'!$R$18),"")</f>
        <v/>
      </c>
      <c r="P10" s="105" t="str">
        <f>IF(AND('Mapa final'!$AB$16="Muy Alta",'Mapa final'!$AD$16="Moderado"),CONCATENATE("R5C",'Mapa final'!$R$16),"")</f>
        <v/>
      </c>
      <c r="Q10" s="42" t="str">
        <f>IF(AND('Mapa final'!$AB$17="Muy Alta",'Mapa final'!$AD$17="Moderado"),CONCATENATE("R5C",'Mapa final'!$R$17),"")</f>
        <v/>
      </c>
      <c r="R10" s="106" t="str">
        <f>IF(AND('Mapa final'!$AB$18="Muy Alta",'Mapa final'!$AD$18="Moderado"),CONCATENATE("R5C",'Mapa final'!$R$18),"")</f>
        <v/>
      </c>
      <c r="S10" s="105" t="str">
        <f>IF(AND('Mapa final'!$AB$16="Muy Alta",'Mapa final'!$AD$16="Mayor"),CONCATENATE("R5C",'Mapa final'!$R$16),"")</f>
        <v/>
      </c>
      <c r="T10" s="42" t="str">
        <f>IF(AND('Mapa final'!$AB$17="Muy Alta",'Mapa final'!$AD$17="Mayor"),CONCATENATE("R5C",'Mapa final'!$R$17),"")</f>
        <v/>
      </c>
      <c r="U10" s="106" t="str">
        <f>IF(AND('Mapa final'!$AB$18="Muy Alta",'Mapa final'!$AD$18="Mayor"),CONCATENATE("R5C",'Mapa final'!$R$18),"")</f>
        <v/>
      </c>
      <c r="V10" s="43" t="str">
        <f>IF(AND('Mapa final'!$AB$16="Muy Alta",'Mapa final'!$AD$16="Catastrófico"),CONCATENATE("R5C",'Mapa final'!$R$16),"")</f>
        <v/>
      </c>
      <c r="W10" s="44" t="str">
        <f>IF(AND('Mapa final'!$AB$17="Muy Alta",'Mapa final'!$AD$17="Catastrófico"),CONCATENATE("R5C",'Mapa final'!$R$17),"")</f>
        <v/>
      </c>
      <c r="X10" s="100" t="str">
        <f>IF(AND('Mapa final'!$AB$18="Muy Alta",'Mapa final'!$AD$18="Catastrófico"),CONCATENATE("R5C",'Mapa final'!$R$18),"")</f>
        <v/>
      </c>
      <c r="Y10" s="56"/>
      <c r="Z10" s="294"/>
      <c r="AA10" s="295"/>
      <c r="AB10" s="295"/>
      <c r="AC10" s="295"/>
      <c r="AD10" s="295"/>
      <c r="AE10" s="29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row>
    <row r="11" spans="1:76" ht="15" customHeight="1" x14ac:dyDescent="0.35">
      <c r="A11" s="56"/>
      <c r="B11" s="300"/>
      <c r="C11" s="300"/>
      <c r="D11" s="301"/>
      <c r="E11" s="289"/>
      <c r="F11" s="290"/>
      <c r="G11" s="290"/>
      <c r="H11" s="290"/>
      <c r="I11" s="288"/>
      <c r="J11" s="105" t="str">
        <f>IF(AND('Mapa final'!$AB$19="Muy Alta",'Mapa final'!$AD$19="Leve"),CONCATENATE("R6C",'Mapa final'!$R$19),"")</f>
        <v/>
      </c>
      <c r="K11" s="42" t="str">
        <f>IF(AND('Mapa final'!$AB$20="Muy Alta",'Mapa final'!$AD$20="Leve"),CONCATENATE("R6C",'Mapa final'!$R$20),"")</f>
        <v/>
      </c>
      <c r="L11" s="106" t="str">
        <f>IF(AND('Mapa final'!$AB$21="Muy Alta",'Mapa final'!$AD$21="Leve"),CONCATENATE("R6C",'Mapa final'!$R$21),"")</f>
        <v/>
      </c>
      <c r="M11" s="105" t="str">
        <f>IF(AND('Mapa final'!$AB$19="Muy Alta",'Mapa final'!$AD$19="Menor"),CONCATENATE("R6C",'Mapa final'!$R$19),"")</f>
        <v/>
      </c>
      <c r="N11" s="42" t="str">
        <f>IF(AND('Mapa final'!$AB$20="Muy Alta",'Mapa final'!$AD$20="Menor"),CONCATENATE("R6C",'Mapa final'!$R$20),"")</f>
        <v/>
      </c>
      <c r="O11" s="106" t="str">
        <f>IF(AND('Mapa final'!$AB$21="Muy Alta",'Mapa final'!$AD$21="Menor"),CONCATENATE("R6C",'Mapa final'!$R$21),"")</f>
        <v/>
      </c>
      <c r="P11" s="105" t="str">
        <f>IF(AND('Mapa final'!$AB$19="Muy Alta",'Mapa final'!$AD$19="Moderado"),CONCATENATE("R6C",'Mapa final'!$R$19),"")</f>
        <v/>
      </c>
      <c r="Q11" s="42" t="str">
        <f>IF(AND('Mapa final'!$AB$20="Muy Alta",'Mapa final'!$AD$20="Moderado"),CONCATENATE("R6C",'Mapa final'!$R$20),"")</f>
        <v/>
      </c>
      <c r="R11" s="106" t="str">
        <f>IF(AND('Mapa final'!$AB$21="Muy Alta",'Mapa final'!$AD$21="Moderado"),CONCATENATE("R6C",'Mapa final'!$R$21),"")</f>
        <v/>
      </c>
      <c r="S11" s="105" t="str">
        <f>IF(AND('Mapa final'!$AB$19="Muy Alta",'Mapa final'!$AD$19="Mayor"),CONCATENATE("R6C",'Mapa final'!$R$19),"")</f>
        <v/>
      </c>
      <c r="T11" s="42" t="str">
        <f>IF(AND('Mapa final'!$AB$20="Muy Alta",'Mapa final'!$AD$20="Mayor"),CONCATENATE("R6C",'Mapa final'!$R$20),"")</f>
        <v/>
      </c>
      <c r="U11" s="106" t="str">
        <f>IF(AND('Mapa final'!$AB$21="Muy Alta",'Mapa final'!$AD$21="Mayor"),CONCATENATE("R6C",'Mapa final'!$R$21),"")</f>
        <v/>
      </c>
      <c r="V11" s="43" t="str">
        <f>IF(AND('Mapa final'!$AB$19="Muy Alta",'Mapa final'!$AD$19="Catastrófico"),CONCATENATE("R6C",'Mapa final'!$R$19),"")</f>
        <v/>
      </c>
      <c r="W11" s="44" t="str">
        <f>IF(AND('Mapa final'!$AB$20="Muy Alta",'Mapa final'!$AD$20="Catastrófico"),CONCATENATE("R6C",'Mapa final'!$R$20),"")</f>
        <v/>
      </c>
      <c r="X11" s="100" t="str">
        <f>IF(AND('Mapa final'!$AB$21="Muy Alta",'Mapa final'!$AD$21="Catastrófico"),CONCATENATE("R6C",'Mapa final'!$R$21),"")</f>
        <v/>
      </c>
      <c r="Y11" s="56"/>
      <c r="Z11" s="294"/>
      <c r="AA11" s="295"/>
      <c r="AB11" s="295"/>
      <c r="AC11" s="295"/>
      <c r="AD11" s="295"/>
      <c r="AE11" s="29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row>
    <row r="12" spans="1:76" ht="15" customHeight="1" x14ac:dyDescent="0.35">
      <c r="A12" s="56"/>
      <c r="B12" s="300"/>
      <c r="C12" s="300"/>
      <c r="D12" s="301"/>
      <c r="E12" s="289"/>
      <c r="F12" s="290"/>
      <c r="G12" s="290"/>
      <c r="H12" s="290"/>
      <c r="I12" s="288"/>
      <c r="J12" s="105" t="str">
        <f>IF(AND('Mapa final'!$AB$22="Muy Alta",'Mapa final'!$AD$22="Leve"),CONCATENATE("R7C",'Mapa final'!$R$22),"")</f>
        <v/>
      </c>
      <c r="K12" s="42" t="str">
        <f>IF(AND('Mapa final'!$AB$23="Muy Alta",'Mapa final'!$AD$23="Leve"),CONCATENATE("R7C",'Mapa final'!$R$23),"")</f>
        <v/>
      </c>
      <c r="L12" s="106" t="str">
        <f>IF(AND('Mapa final'!$AB$24="Muy Alta",'Mapa final'!$AD$24="Leve"),CONCATENATE("R7C",'Mapa final'!$R$24),"")</f>
        <v/>
      </c>
      <c r="M12" s="105" t="str">
        <f>IF(AND('Mapa final'!$AB$22="Muy Alta",'Mapa final'!$AD$22="Menor"),CONCATENATE("R7C",'Mapa final'!$R$22),"")</f>
        <v/>
      </c>
      <c r="N12" s="42" t="str">
        <f>IF(AND('Mapa final'!$AB$23="Muy Alta",'Mapa final'!$AD$23="Menor"),CONCATENATE("R7C",'Mapa final'!$R$23),"")</f>
        <v/>
      </c>
      <c r="O12" s="106" t="str">
        <f>IF(AND('Mapa final'!$AB$24="Muy Alta",'Mapa final'!$AD$24="Menor"),CONCATENATE("R7C",'Mapa final'!$R$24),"")</f>
        <v/>
      </c>
      <c r="P12" s="105" t="str">
        <f>IF(AND('Mapa final'!$AB$22="Muy Alta",'Mapa final'!$AD$22="Moderado"),CONCATENATE("R7C",'Mapa final'!$R$22),"")</f>
        <v/>
      </c>
      <c r="Q12" s="42" t="str">
        <f>IF(AND('Mapa final'!$AB$23="Muy Alta",'Mapa final'!$AD$23="Moderado"),CONCATENATE("R7C",'Mapa final'!$R$23),"")</f>
        <v/>
      </c>
      <c r="R12" s="106" t="str">
        <f>IF(AND('Mapa final'!$AB$24="Muy Alta",'Mapa final'!$AD$24="Moderado"),CONCATENATE("R7C",'Mapa final'!$R$24),"")</f>
        <v/>
      </c>
      <c r="S12" s="105" t="str">
        <f>IF(AND('Mapa final'!$AB$22="Muy Alta",'Mapa final'!$AD$22="Mayor"),CONCATENATE("R7C",'Mapa final'!$R$22),"")</f>
        <v/>
      </c>
      <c r="T12" s="42" t="str">
        <f>IF(AND('Mapa final'!$AB$23="Muy Alta",'Mapa final'!$AD$23="Mayor"),CONCATENATE("R7C",'Mapa final'!$R$23),"")</f>
        <v/>
      </c>
      <c r="U12" s="106" t="str">
        <f>IF(AND('Mapa final'!$AB$24="Muy Alta",'Mapa final'!$AD$24="Mayor"),CONCATENATE("R7C",'Mapa final'!$R$24),"")</f>
        <v/>
      </c>
      <c r="V12" s="43" t="str">
        <f>IF(AND('Mapa final'!$AB$22="Muy Alta",'Mapa final'!$AD$22="Catastrófico"),CONCATENATE("R7C",'Mapa final'!$R$22),"")</f>
        <v/>
      </c>
      <c r="W12" s="44" t="str">
        <f>IF(AND('Mapa final'!$AB$23="Muy Alta",'Mapa final'!$AD$23="Catastrófico"),CONCATENATE("R7C",'Mapa final'!$R$23),"")</f>
        <v/>
      </c>
      <c r="X12" s="100" t="str">
        <f>IF(AND('Mapa final'!$AB$24="Muy Alta",'Mapa final'!$AD$24="Catastrófico"),CONCATENATE("R7C",'Mapa final'!$R$24),"")</f>
        <v/>
      </c>
      <c r="Y12" s="56"/>
      <c r="Z12" s="294"/>
      <c r="AA12" s="295"/>
      <c r="AB12" s="295"/>
      <c r="AC12" s="295"/>
      <c r="AD12" s="295"/>
      <c r="AE12" s="29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row>
    <row r="13" spans="1:76" ht="15" customHeight="1" x14ac:dyDescent="0.35">
      <c r="A13" s="56"/>
      <c r="B13" s="300"/>
      <c r="C13" s="300"/>
      <c r="D13" s="301"/>
      <c r="E13" s="289"/>
      <c r="F13" s="290"/>
      <c r="G13" s="290"/>
      <c r="H13" s="290"/>
      <c r="I13" s="288"/>
      <c r="J13" s="105" t="str">
        <f>IF(AND('Mapa final'!$AB$25="Muy Alta",'Mapa final'!$AD$25="Leve"),CONCATENATE("R8C",'Mapa final'!$R$25),"")</f>
        <v/>
      </c>
      <c r="K13" s="42" t="str">
        <f>IF(AND('Mapa final'!$AB$26="Muy Alta",'Mapa final'!$AD$26="Leve"),CONCATENATE("R8C",'Mapa final'!$R$26),"")</f>
        <v/>
      </c>
      <c r="L13" s="106" t="str">
        <f>IF(AND('Mapa final'!$AB$27="Muy Alta",'Mapa final'!$AD$27="Leve"),CONCATENATE("R8C",'Mapa final'!$R$27),"")</f>
        <v/>
      </c>
      <c r="M13" s="105" t="str">
        <f>IF(AND('Mapa final'!$AB$25="Muy Alta",'Mapa final'!$AD$25="Menor"),CONCATENATE("R8C",'Mapa final'!$R$25),"")</f>
        <v/>
      </c>
      <c r="N13" s="42" t="str">
        <f>IF(AND('Mapa final'!$AB$26="Muy Alta",'Mapa final'!$AD$26="Menor"),CONCATENATE("R8C",'Mapa final'!$R$26),"")</f>
        <v/>
      </c>
      <c r="O13" s="106" t="str">
        <f>IF(AND('Mapa final'!$AB$27="Muy Alta",'Mapa final'!$AD$27="Menor"),CONCATENATE("R8C",'Mapa final'!$R$27),"")</f>
        <v/>
      </c>
      <c r="P13" s="105" t="str">
        <f>IF(AND('Mapa final'!$AB$25="Muy Alta",'Mapa final'!$AD$25="Moderado"),CONCATENATE("R8C",'Mapa final'!$R$25),"")</f>
        <v/>
      </c>
      <c r="Q13" s="42" t="str">
        <f>IF(AND('Mapa final'!$AB$26="Muy Alta",'Mapa final'!$AD$26="Moderado"),CONCATENATE("R8C",'Mapa final'!$R$26),"")</f>
        <v/>
      </c>
      <c r="R13" s="106" t="str">
        <f>IF(AND('Mapa final'!$AB$27="Muy Alta",'Mapa final'!$AD$27="Moderado"),CONCATENATE("R8C",'Mapa final'!$R$27),"")</f>
        <v/>
      </c>
      <c r="S13" s="105" t="str">
        <f>IF(AND('Mapa final'!$AB$25="Muy Alta",'Mapa final'!$AD$25="Mayor"),CONCATENATE("R8C",'Mapa final'!$R$25),"")</f>
        <v/>
      </c>
      <c r="T13" s="42" t="str">
        <f>IF(AND('Mapa final'!$AB$26="Muy Alta",'Mapa final'!$AD$26="Mayor"),CONCATENATE("R8C",'Mapa final'!$R$26),"")</f>
        <v/>
      </c>
      <c r="U13" s="106" t="str">
        <f>IF(AND('Mapa final'!$AB$27="Muy Alta",'Mapa final'!$AD$27="Mayor"),CONCATENATE("R8C",'Mapa final'!$R$27),"")</f>
        <v/>
      </c>
      <c r="V13" s="43" t="str">
        <f>IF(AND('Mapa final'!$AB$25="Muy Alta",'Mapa final'!$AD$25="Catastrófico"),CONCATENATE("R8C",'Mapa final'!$R$25),"")</f>
        <v/>
      </c>
      <c r="W13" s="44" t="str">
        <f>IF(AND('Mapa final'!$AB$26="Muy Alta",'Mapa final'!$AD$26="Catastrófico"),CONCATENATE("R8C",'Mapa final'!$R$26),"")</f>
        <v/>
      </c>
      <c r="X13" s="100" t="str">
        <f>IF(AND('Mapa final'!$AB$27="Muy Alta",'Mapa final'!$AD$27="Catastrófico"),CONCATENATE("R8C",'Mapa final'!$R$27),"")</f>
        <v/>
      </c>
      <c r="Y13" s="56"/>
      <c r="Z13" s="294"/>
      <c r="AA13" s="295"/>
      <c r="AB13" s="295"/>
      <c r="AC13" s="295"/>
      <c r="AD13" s="295"/>
      <c r="AE13" s="29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row>
    <row r="14" spans="1:76" ht="15" customHeight="1" x14ac:dyDescent="0.35">
      <c r="A14" s="56"/>
      <c r="B14" s="300"/>
      <c r="C14" s="300"/>
      <c r="D14" s="301"/>
      <c r="E14" s="289"/>
      <c r="F14" s="290"/>
      <c r="G14" s="290"/>
      <c r="H14" s="290"/>
      <c r="I14" s="288"/>
      <c r="J14" s="105" t="str">
        <f>IF(AND('Mapa final'!$AB$28="Muy Alta",'Mapa final'!$AD$28="Leve"),CONCATENATE("R9C",'Mapa final'!$R$28),"")</f>
        <v/>
      </c>
      <c r="K14" s="42" t="str">
        <f>IF(AND('Mapa final'!$AB$29="Muy Alta",'Mapa final'!$AD$29="Leve"),CONCATENATE("R9C",'Mapa final'!$R$29),"")</f>
        <v/>
      </c>
      <c r="L14" s="106" t="str">
        <f>IF(AND('Mapa final'!$AB$30="Muy Alta",'Mapa final'!$AD$30="Leve"),CONCATENATE("R9C",'Mapa final'!$R$30),"")</f>
        <v/>
      </c>
      <c r="M14" s="105" t="str">
        <f>IF(AND('Mapa final'!$AB$28="Muy Alta",'Mapa final'!$AD$28="Menor"),CONCATENATE("R9C",'Mapa final'!$R$28),"")</f>
        <v/>
      </c>
      <c r="N14" s="42" t="str">
        <f>IF(AND('Mapa final'!$AB$29="Muy Alta",'Mapa final'!$AD$29="Menor"),CONCATENATE("R9C",'Mapa final'!$R$29),"")</f>
        <v/>
      </c>
      <c r="O14" s="106" t="str">
        <f>IF(AND('Mapa final'!$AB$30="Muy Alta",'Mapa final'!$AD$30="Menor"),CONCATENATE("R9C",'Mapa final'!$R$30),"")</f>
        <v/>
      </c>
      <c r="P14" s="105" t="str">
        <f>IF(AND('Mapa final'!$AB$28="Muy Alta",'Mapa final'!$AD$28="Moderado"),CONCATENATE("R9C",'Mapa final'!$R$28),"")</f>
        <v/>
      </c>
      <c r="Q14" s="42" t="str">
        <f>IF(AND('Mapa final'!$AB$29="Muy Alta",'Mapa final'!$AD$29="Moderado"),CONCATENATE("R9C",'Mapa final'!$R$29),"")</f>
        <v/>
      </c>
      <c r="R14" s="106" t="str">
        <f>IF(AND('Mapa final'!$AB$30="Muy Alta",'Mapa final'!$AD$30="Moderado"),CONCATENATE("R9C",'Mapa final'!$R$30),"")</f>
        <v/>
      </c>
      <c r="S14" s="105" t="str">
        <f>IF(AND('Mapa final'!$AB$28="Muy Alta",'Mapa final'!$AD$28="Mayor"),CONCATENATE("R9C",'Mapa final'!$R$28),"")</f>
        <v/>
      </c>
      <c r="T14" s="42" t="str">
        <f>IF(AND('Mapa final'!$AB$29="Muy Alta",'Mapa final'!$AD$29="Mayor"),CONCATENATE("R9C",'Mapa final'!$R$29),"")</f>
        <v/>
      </c>
      <c r="U14" s="106" t="str">
        <f>IF(AND('Mapa final'!$AB$30="Muy Alta",'Mapa final'!$AD$30="Mayor"),CONCATENATE("R9C",'Mapa final'!$R$30),"")</f>
        <v/>
      </c>
      <c r="V14" s="43" t="str">
        <f>IF(AND('Mapa final'!$AB$28="Muy Alta",'Mapa final'!$AD$28="Catastrófico"),CONCATENATE("R9C",'Mapa final'!$R$28),"")</f>
        <v/>
      </c>
      <c r="W14" s="44" t="str">
        <f>IF(AND('Mapa final'!$AB$29="Muy Alta",'Mapa final'!$AD$29="Catastrófico"),CONCATENATE("R9C",'Mapa final'!$R$29),"")</f>
        <v/>
      </c>
      <c r="X14" s="100" t="str">
        <f>IF(AND('Mapa final'!$AB$30="Muy Alta",'Mapa final'!$AD$30="Catastrófico"),CONCATENATE("R9C",'Mapa final'!$R$30),"")</f>
        <v/>
      </c>
      <c r="Y14" s="56"/>
      <c r="Z14" s="294"/>
      <c r="AA14" s="295"/>
      <c r="AB14" s="295"/>
      <c r="AC14" s="295"/>
      <c r="AD14" s="295"/>
      <c r="AE14" s="29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row>
    <row r="15" spans="1:76" ht="15" customHeight="1" x14ac:dyDescent="0.35">
      <c r="A15" s="56"/>
      <c r="B15" s="300"/>
      <c r="C15" s="300"/>
      <c r="D15" s="301"/>
      <c r="E15" s="289"/>
      <c r="F15" s="290"/>
      <c r="G15" s="290"/>
      <c r="H15" s="290"/>
      <c r="I15" s="288"/>
      <c r="J15" s="105" t="str">
        <f>IF(AND('Mapa final'!$AB$31="Muy Alta",'Mapa final'!$AD$31="Leve"),CONCATENATE("R10C",'Mapa final'!$R$31),"")</f>
        <v/>
      </c>
      <c r="K15" s="42" t="str">
        <f>IF(AND('Mapa final'!$AB$32="Muy Alta",'Mapa final'!$AD$32="Leve"),CONCATENATE("R10C",'Mapa final'!$R$32),"")</f>
        <v/>
      </c>
      <c r="L15" s="106" t="str">
        <f>IF(AND('Mapa final'!$AB$33="Muy Alta",'Mapa final'!$AD$33="Leve"),CONCATENATE("R10C",'Mapa final'!$R$33),"")</f>
        <v/>
      </c>
      <c r="M15" s="105" t="str">
        <f>IF(AND('Mapa final'!$AB$31="Muy Alta",'Mapa final'!$AD$31="Menor"),CONCATENATE("R10C",'Mapa final'!$R$31),"")</f>
        <v/>
      </c>
      <c r="N15" s="42" t="str">
        <f>IF(AND('Mapa final'!$AB$32="Muy Alta",'Mapa final'!$AD$32="Menor"),CONCATENATE("R10C",'Mapa final'!$R$32),"")</f>
        <v/>
      </c>
      <c r="O15" s="106" t="str">
        <f>IF(AND('Mapa final'!$AB$33="Muy Alta",'Mapa final'!$AD$33="Menor"),CONCATENATE("R10C",'Mapa final'!$R$33),"")</f>
        <v/>
      </c>
      <c r="P15" s="105" t="str">
        <f>IF(AND('Mapa final'!$AB$31="Muy Alta",'Mapa final'!$AD$31="Moderado"),CONCATENATE("R10C",'Mapa final'!$R$31),"")</f>
        <v/>
      </c>
      <c r="Q15" s="42" t="str">
        <f>IF(AND('Mapa final'!$AB$32="Muy Alta",'Mapa final'!$AD$32="Moderado"),CONCATENATE("R10C",'Mapa final'!$R$32),"")</f>
        <v/>
      </c>
      <c r="R15" s="106" t="str">
        <f>IF(AND('Mapa final'!$AB$33="Muy Alta",'Mapa final'!$AD$33="Moderado"),CONCATENATE("R10C",'Mapa final'!$R$33),"")</f>
        <v/>
      </c>
      <c r="S15" s="105" t="str">
        <f>IF(AND('Mapa final'!$AB$31="Muy Alta",'Mapa final'!$AD$31="Mayor"),CONCATENATE("R10C",'Mapa final'!$R$31),"")</f>
        <v/>
      </c>
      <c r="T15" s="42" t="str">
        <f>IF(AND('Mapa final'!$AB$32="Muy Alta",'Mapa final'!$AD$32="Mayor"),CONCATENATE("R10C",'Mapa final'!$R$32),"")</f>
        <v/>
      </c>
      <c r="U15" s="106" t="str">
        <f>IF(AND('Mapa final'!$AB$33="Muy Alta",'Mapa final'!$AD$33="Mayor"),CONCATENATE("R10C",'Mapa final'!$R$33),"")</f>
        <v/>
      </c>
      <c r="V15" s="43" t="str">
        <f>IF(AND('Mapa final'!$AB$31="Muy Alta",'Mapa final'!$AD$31="Catastrófico"),CONCATENATE("R10C",'Mapa final'!$R$31),"")</f>
        <v/>
      </c>
      <c r="W15" s="44" t="str">
        <f>IF(AND('Mapa final'!$AB$32="Muy Alta",'Mapa final'!$AD$32="Catastrófico"),CONCATENATE("R10C",'Mapa final'!$R$32),"")</f>
        <v/>
      </c>
      <c r="X15" s="100" t="str">
        <f>IF(AND('Mapa final'!$AB$33="Muy Alta",'Mapa final'!$AD$33="Catastrófico"),CONCATENATE("R10C",'Mapa final'!$R$33),"")</f>
        <v/>
      </c>
      <c r="Y15" s="56"/>
      <c r="Z15" s="294"/>
      <c r="AA15" s="295"/>
      <c r="AB15" s="295"/>
      <c r="AC15" s="295"/>
      <c r="AD15" s="295"/>
      <c r="AE15" s="29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row>
    <row r="16" spans="1:76" ht="15" customHeight="1" x14ac:dyDescent="0.35">
      <c r="A16" s="56"/>
      <c r="B16" s="300"/>
      <c r="C16" s="300"/>
      <c r="D16" s="301"/>
      <c r="E16" s="289"/>
      <c r="F16" s="290"/>
      <c r="G16" s="290"/>
      <c r="H16" s="290"/>
      <c r="I16" s="288"/>
      <c r="J16" s="105" t="str">
        <f>IF(AND('Mapa final'!$AB$34="Muy Alta",'Mapa final'!$AD$34="Leve"),CONCATENATE("R11C",'Mapa final'!$R$34),"")</f>
        <v/>
      </c>
      <c r="K16" s="42" t="str">
        <f>IF(AND('Mapa final'!$AB$35="Muy Alta",'Mapa final'!$AD$35="Leve"),CONCATENATE("R11C",'Mapa final'!$R$35),"")</f>
        <v/>
      </c>
      <c r="L16" s="106" t="str">
        <f>IF(AND('Mapa final'!$AB$36="Muy Alta",'Mapa final'!$AD$36="Leve"),CONCATENATE("R11C",'Mapa final'!$R$36),"")</f>
        <v/>
      </c>
      <c r="M16" s="105" t="str">
        <f>IF(AND('Mapa final'!$AB$34="Muy Alta",'Mapa final'!$AD$34="Menor"),CONCATENATE("R11C",'Mapa final'!$R$34),"")</f>
        <v/>
      </c>
      <c r="N16" s="42" t="str">
        <f>IF(AND('Mapa final'!$AB$35="Muy Alta",'Mapa final'!$AD$35="Menor"),CONCATENATE("R11C",'Mapa final'!$R$35),"")</f>
        <v/>
      </c>
      <c r="O16" s="106" t="str">
        <f>IF(AND('Mapa final'!$AB$36="Muy Alta",'Mapa final'!$AD$36="Menor"),CONCATENATE("R11C",'Mapa final'!$R$36),"")</f>
        <v/>
      </c>
      <c r="P16" s="105" t="str">
        <f>IF(AND('Mapa final'!$AB$34="Muy Alta",'Mapa final'!$AD$34="Moderado"),CONCATENATE("R11C",'Mapa final'!$R$34),"")</f>
        <v/>
      </c>
      <c r="Q16" s="42" t="str">
        <f>IF(AND('Mapa final'!$AB$35="Muy Alta",'Mapa final'!$AD$35="Moderado"),CONCATENATE("R11C",'Mapa final'!$R$35),"")</f>
        <v/>
      </c>
      <c r="R16" s="106" t="str">
        <f>IF(AND('Mapa final'!$AB$36="Muy Alta",'Mapa final'!$AD$36="Moderado"),CONCATENATE("R11C",'Mapa final'!$R$36),"")</f>
        <v/>
      </c>
      <c r="S16" s="105" t="str">
        <f>IF(AND('Mapa final'!$AB$34="Muy Alta",'Mapa final'!$AD$34="Mayor"),CONCATENATE("R11C",'Mapa final'!$R$34),"")</f>
        <v/>
      </c>
      <c r="T16" s="42" t="str">
        <f>IF(AND('Mapa final'!$AB$35="Muy Alta",'Mapa final'!$AD$35="Mayor"),CONCATENATE("R11C",'Mapa final'!$R$35),"")</f>
        <v/>
      </c>
      <c r="U16" s="106" t="str">
        <f>IF(AND('Mapa final'!$AB$36="Muy Alta",'Mapa final'!$AD$36="Mayor"),CONCATENATE("R11C",'Mapa final'!$R$36),"")</f>
        <v/>
      </c>
      <c r="V16" s="43" t="str">
        <f>IF(AND('Mapa final'!$AB$34="Muy Alta",'Mapa final'!$AD$34="Catastrófico"),CONCATENATE("R11C",'Mapa final'!$R$34),"")</f>
        <v/>
      </c>
      <c r="W16" s="44" t="str">
        <f>IF(AND('Mapa final'!$AB$35="Muy Alta",'Mapa final'!$AD$35="Catastrófico"),CONCATENATE("R11C",'Mapa final'!$R$35),"")</f>
        <v/>
      </c>
      <c r="X16" s="100" t="str">
        <f>IF(AND('Mapa final'!$AB$36="Muy Alta",'Mapa final'!$AD$36="Catastrófico"),CONCATENATE("R11C",'Mapa final'!$R$36),"")</f>
        <v/>
      </c>
      <c r="Y16" s="56"/>
      <c r="Z16" s="294"/>
      <c r="AA16" s="295"/>
      <c r="AB16" s="295"/>
      <c r="AC16" s="295"/>
      <c r="AD16" s="295"/>
      <c r="AE16" s="29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row>
    <row r="17" spans="1:61" ht="15" customHeight="1" x14ac:dyDescent="0.35">
      <c r="A17" s="56"/>
      <c r="B17" s="300"/>
      <c r="C17" s="300"/>
      <c r="D17" s="301"/>
      <c r="E17" s="289"/>
      <c r="F17" s="290"/>
      <c r="G17" s="290"/>
      <c r="H17" s="290"/>
      <c r="I17" s="288"/>
      <c r="J17" s="105" t="str">
        <f>IF(AND('Mapa final'!$AB$37="Muy Alta",'Mapa final'!$AD$37="Leve"),CONCATENATE("R12C",'Mapa final'!$R$37),"")</f>
        <v/>
      </c>
      <c r="K17" s="42" t="str">
        <f>IF(AND('Mapa final'!$AB$38="Muy Alta",'Mapa final'!$AD$38="Leve"),CONCATENATE("R12C",'Mapa final'!$R$38),"")</f>
        <v/>
      </c>
      <c r="L17" s="106" t="str">
        <f>IF(AND('Mapa final'!$AB$39="Muy Alta",'Mapa final'!$AD$39="Leve"),CONCATENATE("R12C",'Mapa final'!$R$39),"")</f>
        <v/>
      </c>
      <c r="M17" s="105" t="str">
        <f>IF(AND('Mapa final'!$AB$37="Muy Alta",'Mapa final'!$AD$37="Menor"),CONCATENATE("R12C",'Mapa final'!$R$37),"")</f>
        <v/>
      </c>
      <c r="N17" s="42" t="str">
        <f>IF(AND('Mapa final'!$AB$38="Muy Alta",'Mapa final'!$AD$38="Menor"),CONCATENATE("R12C",'Mapa final'!$R$38),"")</f>
        <v/>
      </c>
      <c r="O17" s="106" t="str">
        <f>IF(AND('Mapa final'!$AB$39="Muy Alta",'Mapa final'!$AD$39="Menor"),CONCATENATE("R12C",'Mapa final'!$R$39),"")</f>
        <v/>
      </c>
      <c r="P17" s="105" t="str">
        <f>IF(AND('Mapa final'!$AB$37="Muy Alta",'Mapa final'!$AD$37="Moderado"),CONCATENATE("R12C",'Mapa final'!$R$37),"")</f>
        <v/>
      </c>
      <c r="Q17" s="42" t="str">
        <f>IF(AND('Mapa final'!$AB$38="Muy Alta",'Mapa final'!$AD$38="Moderado"),CONCATENATE("R12C",'Mapa final'!$R$38),"")</f>
        <v/>
      </c>
      <c r="R17" s="106" t="str">
        <f>IF(AND('Mapa final'!$AB$39="Muy Alta",'Mapa final'!$AD$39="Moderado"),CONCATENATE("R12C",'Mapa final'!$R$39),"")</f>
        <v/>
      </c>
      <c r="S17" s="105" t="str">
        <f>IF(AND('Mapa final'!$AB$37="Muy Alta",'Mapa final'!$AD$37="Mayor"),CONCATENATE("R12C",'Mapa final'!$R$37),"")</f>
        <v/>
      </c>
      <c r="T17" s="42" t="str">
        <f>IF(AND('Mapa final'!$AB$38="Muy Alta",'Mapa final'!$AD$38="Mayor"),CONCATENATE("R12C",'Mapa final'!$R$38),"")</f>
        <v/>
      </c>
      <c r="U17" s="106" t="str">
        <f>IF(AND('Mapa final'!$AB$39="Muy Alta",'Mapa final'!$AD$39="Mayor"),CONCATENATE("R12C",'Mapa final'!$R$39),"")</f>
        <v/>
      </c>
      <c r="V17" s="43" t="str">
        <f>IF(AND('Mapa final'!$AB$37="Muy Alta",'Mapa final'!$AD$37="Catastrófico"),CONCATENATE("R12C",'Mapa final'!$R$37),"")</f>
        <v/>
      </c>
      <c r="W17" s="44" t="str">
        <f>IF(AND('Mapa final'!$AB$38="Muy Alta",'Mapa final'!$AD$38="Catastrófico"),CONCATENATE("R12C",'Mapa final'!$R$38),"")</f>
        <v/>
      </c>
      <c r="X17" s="100" t="str">
        <f>IF(AND('Mapa final'!$AB$39="Muy Alta",'Mapa final'!$AD$39="Catastrófico"),CONCATENATE("R12C",'Mapa final'!$R$39),"")</f>
        <v/>
      </c>
      <c r="Y17" s="56"/>
      <c r="Z17" s="294"/>
      <c r="AA17" s="295"/>
      <c r="AB17" s="295"/>
      <c r="AC17" s="295"/>
      <c r="AD17" s="295"/>
      <c r="AE17" s="29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row>
    <row r="18" spans="1:61" ht="15" customHeight="1" x14ac:dyDescent="0.35">
      <c r="A18" s="56"/>
      <c r="B18" s="300"/>
      <c r="C18" s="300"/>
      <c r="D18" s="301"/>
      <c r="E18" s="289"/>
      <c r="F18" s="290"/>
      <c r="G18" s="290"/>
      <c r="H18" s="290"/>
      <c r="I18" s="288"/>
      <c r="J18" s="105" t="str">
        <f>IF(AND('Mapa final'!$AB$40="Muy Alta",'Mapa final'!$AD$40="Leve"),CONCATENATE("R13C",'Mapa final'!$R$40),"")</f>
        <v/>
      </c>
      <c r="K18" s="42" t="str">
        <f>IF(AND('Mapa final'!$AB$41="Muy Alta",'Mapa final'!$AD$41="Leve"),CONCATENATE("R13C",'Mapa final'!$R$41),"")</f>
        <v/>
      </c>
      <c r="L18" s="106" t="str">
        <f>IF(AND('Mapa final'!$AB$42="Muy Alta",'Mapa final'!$AD$42="Leve"),CONCATENATE("R13C",'Mapa final'!$R$42),"")</f>
        <v/>
      </c>
      <c r="M18" s="105" t="str">
        <f>IF(AND('Mapa final'!$AB$40="Muy Alta",'Mapa final'!$AD$40="Menor"),CONCATENATE("R13C",'Mapa final'!$R$40),"")</f>
        <v/>
      </c>
      <c r="N18" s="42" t="str">
        <f>IF(AND('Mapa final'!$AB$41="Muy Alta",'Mapa final'!$AD$41="Menor"),CONCATENATE("R13C",'Mapa final'!$R$41),"")</f>
        <v/>
      </c>
      <c r="O18" s="106" t="str">
        <f>IF(AND('Mapa final'!$AB$42="Muy Alta",'Mapa final'!$AD$42="Menor"),CONCATENATE("R13C",'Mapa final'!$R$42),"")</f>
        <v/>
      </c>
      <c r="P18" s="105" t="str">
        <f>IF(AND('Mapa final'!$AB$40="Muy Alta",'Mapa final'!$AD$40="Moderado"),CONCATENATE("R13C",'Mapa final'!$R$40),"")</f>
        <v/>
      </c>
      <c r="Q18" s="42" t="str">
        <f>IF(AND('Mapa final'!$AB$41="Muy Alta",'Mapa final'!$AD$41="Moderado"),CONCATENATE("R13C",'Mapa final'!$R$41),"")</f>
        <v/>
      </c>
      <c r="R18" s="106" t="str">
        <f>IF(AND('Mapa final'!$AB$42="Muy Alta",'Mapa final'!$AD$42="Moderado"),CONCATENATE("R13C",'Mapa final'!$R$42),"")</f>
        <v/>
      </c>
      <c r="S18" s="105" t="str">
        <f>IF(AND('Mapa final'!$AB$40="Muy Alta",'Mapa final'!$AD$40="Mayor"),CONCATENATE("R13C",'Mapa final'!$R$40),"")</f>
        <v/>
      </c>
      <c r="T18" s="42" t="str">
        <f>IF(AND('Mapa final'!$AB$41="Muy Alta",'Mapa final'!$AD$41="Mayor"),CONCATENATE("R13C",'Mapa final'!$R$41),"")</f>
        <v/>
      </c>
      <c r="U18" s="106" t="str">
        <f>IF(AND('Mapa final'!$AB$42="Muy Alta",'Mapa final'!$AD$42="Mayor"),CONCATENATE("R13C",'Mapa final'!$R$42),"")</f>
        <v/>
      </c>
      <c r="V18" s="43" t="str">
        <f>IF(AND('Mapa final'!$AB$40="Muy Alta",'Mapa final'!$AD$40="Catastrófico"),CONCATENATE("R13C",'Mapa final'!$R$40),"")</f>
        <v/>
      </c>
      <c r="W18" s="44" t="str">
        <f>IF(AND('Mapa final'!$AB$41="Muy Alta",'Mapa final'!$AD$41="Catastrófico"),CONCATENATE("R13C",'Mapa final'!$R$41),"")</f>
        <v/>
      </c>
      <c r="X18" s="100" t="str">
        <f>IF(AND('Mapa final'!$AB$42="Muy Alta",'Mapa final'!$AD$42="Catastrófico"),CONCATENATE("R13C",'Mapa final'!$R$42),"")</f>
        <v/>
      </c>
      <c r="Y18" s="56"/>
      <c r="Z18" s="294"/>
      <c r="AA18" s="295"/>
      <c r="AB18" s="295"/>
      <c r="AC18" s="295"/>
      <c r="AD18" s="295"/>
      <c r="AE18" s="29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row>
    <row r="19" spans="1:61" ht="15" customHeight="1" x14ac:dyDescent="0.35">
      <c r="A19" s="56"/>
      <c r="B19" s="300"/>
      <c r="C19" s="300"/>
      <c r="D19" s="301"/>
      <c r="E19" s="289"/>
      <c r="F19" s="290"/>
      <c r="G19" s="290"/>
      <c r="H19" s="290"/>
      <c r="I19" s="288"/>
      <c r="J19" s="105" t="str">
        <f>IF(AND('Mapa final'!$AB$43="Muy Alta",'Mapa final'!$AD$43="Leve"),CONCATENATE("R14C",'Mapa final'!$R$43),"")</f>
        <v/>
      </c>
      <c r="K19" s="42" t="str">
        <f>IF(AND('Mapa final'!$AB$44="Muy Alta",'Mapa final'!$AD$44="Leve"),CONCATENATE("R14C",'Mapa final'!$R$44),"")</f>
        <v/>
      </c>
      <c r="L19" s="106" t="str">
        <f>IF(AND('Mapa final'!$AB$45="Muy Alta",'Mapa final'!$AD$45="Leve"),CONCATENATE("R14C",'Mapa final'!$R$45),"")</f>
        <v/>
      </c>
      <c r="M19" s="105" t="str">
        <f>IF(AND('Mapa final'!$AB$43="Muy Alta",'Mapa final'!$AD$43="Menor"),CONCATENATE("R14C",'Mapa final'!$R$43),"")</f>
        <v/>
      </c>
      <c r="N19" s="42" t="str">
        <f>IF(AND('Mapa final'!$AB$44="Muy Alta",'Mapa final'!$AD$44="Menor"),CONCATENATE("R14C",'Mapa final'!$R$44),"")</f>
        <v/>
      </c>
      <c r="O19" s="106" t="str">
        <f>IF(AND('Mapa final'!$AB$45="Muy Alta",'Mapa final'!$AD$45="Menor"),CONCATENATE("R14C",'Mapa final'!$R$45),"")</f>
        <v/>
      </c>
      <c r="P19" s="105" t="str">
        <f>IF(AND('Mapa final'!$AB$43="Muy Alta",'Mapa final'!$AD$43="Moderado"),CONCATENATE("R14C",'Mapa final'!$R$43),"")</f>
        <v/>
      </c>
      <c r="Q19" s="42" t="str">
        <f>IF(AND('Mapa final'!$AB$44="Muy Alta",'Mapa final'!$AD$44="Moderado"),CONCATENATE("R14C",'Mapa final'!$R$44),"")</f>
        <v/>
      </c>
      <c r="R19" s="106" t="str">
        <f>IF(AND('Mapa final'!$AB$45="Muy Alta",'Mapa final'!$AD$45="Moderado"),CONCATENATE("R14C",'Mapa final'!$R$45),"")</f>
        <v/>
      </c>
      <c r="S19" s="105" t="str">
        <f>IF(AND('Mapa final'!$AB$43="Muy Alta",'Mapa final'!$AD$43="Mayor"),CONCATENATE("R14C",'Mapa final'!$R$43),"")</f>
        <v/>
      </c>
      <c r="T19" s="42" t="str">
        <f>IF(AND('Mapa final'!$AB$44="Muy Alta",'Mapa final'!$AD$44="Mayor"),CONCATENATE("R14C",'Mapa final'!$R$44),"")</f>
        <v/>
      </c>
      <c r="U19" s="106" t="str">
        <f>IF(AND('Mapa final'!$AB$45="Muy Alta",'Mapa final'!$AD$45="Mayor"),CONCATENATE("R14C",'Mapa final'!$R$45),"")</f>
        <v/>
      </c>
      <c r="V19" s="43" t="str">
        <f>IF(AND('Mapa final'!$AB$43="Muy Alta",'Mapa final'!$AD$43="Catastrófico"),CONCATENATE("R14C",'Mapa final'!$R$43),"")</f>
        <v/>
      </c>
      <c r="W19" s="44" t="str">
        <f>IF(AND('Mapa final'!$AB$44="Muy Alta",'Mapa final'!$AD$44="Catastrófico"),CONCATENATE("R14C",'Mapa final'!$R$44),"")</f>
        <v/>
      </c>
      <c r="X19" s="100" t="str">
        <f>IF(AND('Mapa final'!$AB$45="Muy Alta",'Mapa final'!$AD$45="Catastrófico"),CONCATENATE("R14C",'Mapa final'!$R$45),"")</f>
        <v/>
      </c>
      <c r="Y19" s="56"/>
      <c r="Z19" s="294"/>
      <c r="AA19" s="295"/>
      <c r="AB19" s="295"/>
      <c r="AC19" s="295"/>
      <c r="AD19" s="295"/>
      <c r="AE19" s="29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row>
    <row r="20" spans="1:61" ht="15" customHeight="1" x14ac:dyDescent="0.35">
      <c r="A20" s="56"/>
      <c r="B20" s="300"/>
      <c r="C20" s="300"/>
      <c r="D20" s="301"/>
      <c r="E20" s="289"/>
      <c r="F20" s="290"/>
      <c r="G20" s="290"/>
      <c r="H20" s="290"/>
      <c r="I20" s="288"/>
      <c r="J20" s="105" t="str">
        <f>IF(AND('Mapa final'!$AB$46="Muy Alta",'Mapa final'!$AD$46="Leve"),CONCATENATE("R15C",'Mapa final'!$R$46),"")</f>
        <v/>
      </c>
      <c r="K20" s="42" t="str">
        <f>IF(AND('Mapa final'!$AB$47="Muy Alta",'Mapa final'!$AD$47="Leve"),CONCATENATE("R15C",'Mapa final'!$R$47),"")</f>
        <v/>
      </c>
      <c r="L20" s="106" t="str">
        <f>IF(AND('Mapa final'!$AB$48="Muy Alta",'Mapa final'!$AD$48="Leve"),CONCATENATE("R15C",'Mapa final'!$R$48),"")</f>
        <v/>
      </c>
      <c r="M20" s="105" t="str">
        <f>IF(AND('Mapa final'!$AB$46="Muy Alta",'Mapa final'!$AD$46="Menor"),CONCATENATE("R15C",'Mapa final'!$R$46),"")</f>
        <v/>
      </c>
      <c r="N20" s="42" t="str">
        <f>IF(AND('Mapa final'!$AB$47="Muy Alta",'Mapa final'!$AD$47="Menor"),CONCATENATE("R15C",'Mapa final'!$R$47),"")</f>
        <v/>
      </c>
      <c r="O20" s="106" t="str">
        <f>IF(AND('Mapa final'!$AB$48="Muy Alta",'Mapa final'!$AD$48="Menor"),CONCATENATE("R15C",'Mapa final'!$R$48),"")</f>
        <v/>
      </c>
      <c r="P20" s="105" t="str">
        <f>IF(AND('Mapa final'!$AB$46="Muy Alta",'Mapa final'!$AD$46="Moderado"),CONCATENATE("R15C",'Mapa final'!$R$46),"")</f>
        <v/>
      </c>
      <c r="Q20" s="42" t="str">
        <f>IF(AND('Mapa final'!$AB$47="Muy Alta",'Mapa final'!$AD$47="Moderado"),CONCATENATE("R15C",'Mapa final'!$R$47),"")</f>
        <v/>
      </c>
      <c r="R20" s="106" t="str">
        <f>IF(AND('Mapa final'!$AB$48="Muy Alta",'Mapa final'!$AD$48="Moderado"),CONCATENATE("R15C",'Mapa final'!$R$48),"")</f>
        <v/>
      </c>
      <c r="S20" s="105" t="str">
        <f>IF(AND('Mapa final'!$AB$46="Muy Alta",'Mapa final'!$AD$46="Mayor"),CONCATENATE("R15C",'Mapa final'!$R$46),"")</f>
        <v/>
      </c>
      <c r="T20" s="42" t="str">
        <f>IF(AND('Mapa final'!$AB$47="Muy Alta",'Mapa final'!$AD$47="Mayor"),CONCATENATE("R15C",'Mapa final'!$R$47),"")</f>
        <v/>
      </c>
      <c r="U20" s="106" t="str">
        <f>IF(AND('Mapa final'!$AB$48="Muy Alta",'Mapa final'!$AD$48="Mayor"),CONCATENATE("R15C",'Mapa final'!$R$48),"")</f>
        <v/>
      </c>
      <c r="V20" s="43" t="str">
        <f>IF(AND('Mapa final'!$AB$46="Muy Alta",'Mapa final'!$AD$46="Catastrófico"),CONCATENATE("R15C",'Mapa final'!$R$46),"")</f>
        <v/>
      </c>
      <c r="W20" s="44" t="str">
        <f>IF(AND('Mapa final'!$AB$47="Muy Alta",'Mapa final'!$AD$47="Catastrófico"),CONCATENATE("R15C",'Mapa final'!$R$47),"")</f>
        <v/>
      </c>
      <c r="X20" s="100" t="str">
        <f>IF(AND('Mapa final'!$AB$48="Muy Alta",'Mapa final'!$AD$48="Catastrófico"),CONCATENATE("R15C",'Mapa final'!$R$48),"")</f>
        <v/>
      </c>
      <c r="Y20" s="56"/>
      <c r="Z20" s="294"/>
      <c r="AA20" s="295"/>
      <c r="AB20" s="295"/>
      <c r="AC20" s="295"/>
      <c r="AD20" s="295"/>
      <c r="AE20" s="29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row>
    <row r="21" spans="1:61" ht="15" customHeight="1" x14ac:dyDescent="0.35">
      <c r="A21" s="56"/>
      <c r="B21" s="300"/>
      <c r="C21" s="300"/>
      <c r="D21" s="301"/>
      <c r="E21" s="289"/>
      <c r="F21" s="290"/>
      <c r="G21" s="290"/>
      <c r="H21" s="290"/>
      <c r="I21" s="288"/>
      <c r="J21" s="105" t="str">
        <f>IF(AND('Mapa final'!$AB$49="Muy Alta",'Mapa final'!$AD$49="Leve"),CONCATENATE("R16C",'Mapa final'!$R$49),"")</f>
        <v/>
      </c>
      <c r="K21" s="42" t="str">
        <f>IF(AND('Mapa final'!$AB$50="Muy Alta",'Mapa final'!$AD$50="Leve"),CONCATENATE("R16C",'Mapa final'!$R$50),"")</f>
        <v/>
      </c>
      <c r="L21" s="106" t="str">
        <f>IF(AND('Mapa final'!$AB$51="Muy Alta",'Mapa final'!$AD$51="Leve"),CONCATENATE("R16C",'Mapa final'!$R$51),"")</f>
        <v/>
      </c>
      <c r="M21" s="105" t="str">
        <f>IF(AND('Mapa final'!$AB$49="Muy Alta",'Mapa final'!$AD$49="Menor"),CONCATENATE("R16C",'Mapa final'!$R$49),"")</f>
        <v/>
      </c>
      <c r="N21" s="42" t="str">
        <f>IF(AND('Mapa final'!$AB$50="Muy Alta",'Mapa final'!$AD$50="Menor"),CONCATENATE("R16C",'Mapa final'!$R$50),"")</f>
        <v/>
      </c>
      <c r="O21" s="106" t="str">
        <f>IF(AND('Mapa final'!$AB$51="Muy Alta",'Mapa final'!$AD$51="Menor"),CONCATENATE("R16C",'Mapa final'!$R$51),"")</f>
        <v/>
      </c>
      <c r="P21" s="105" t="str">
        <f>IF(AND('Mapa final'!$AB$49="Muy Alta",'Mapa final'!$AD$49="Moderado"),CONCATENATE("R16C",'Mapa final'!$R$49),"")</f>
        <v/>
      </c>
      <c r="Q21" s="42" t="str">
        <f>IF(AND('Mapa final'!$AB$50="Muy Alta",'Mapa final'!$AD$50="Moderado"),CONCATENATE("R16C",'Mapa final'!$R$50),"")</f>
        <v/>
      </c>
      <c r="R21" s="106" t="str">
        <f>IF(AND('Mapa final'!$AB$51="Muy Alta",'Mapa final'!$AD$51="Moderado"),CONCATENATE("R16C",'Mapa final'!$R$51),"")</f>
        <v/>
      </c>
      <c r="S21" s="105" t="str">
        <f>IF(AND('Mapa final'!$AB$49="Muy Alta",'Mapa final'!$AD$49="Mayor"),CONCATENATE("R16C",'Mapa final'!$R$49),"")</f>
        <v/>
      </c>
      <c r="T21" s="42" t="str">
        <f>IF(AND('Mapa final'!$AB$50="Muy Alta",'Mapa final'!$AD$50="Mayor"),CONCATENATE("R16C",'Mapa final'!$R$50),"")</f>
        <v/>
      </c>
      <c r="U21" s="106" t="str">
        <f>IF(AND('Mapa final'!$AB$51="Muy Alta",'Mapa final'!$AD$51="Mayor"),CONCATENATE("R16C",'Mapa final'!$R$51),"")</f>
        <v/>
      </c>
      <c r="V21" s="43" t="str">
        <f>IF(AND('Mapa final'!$AB$49="Muy Alta",'Mapa final'!$AD$49="Catastrófico"),CONCATENATE("R16C",'Mapa final'!$R$49),"")</f>
        <v/>
      </c>
      <c r="W21" s="44" t="str">
        <f>IF(AND('Mapa final'!$AB$50="Muy Alta",'Mapa final'!$AD$50="Catastrófico"),CONCATENATE("R16C",'Mapa final'!$R$50),"")</f>
        <v/>
      </c>
      <c r="X21" s="100" t="str">
        <f>IF(AND('Mapa final'!$AB$51="Muy Alta",'Mapa final'!$AD$51="Catastrófico"),CONCATENATE("R16C",'Mapa final'!$R$51),"")</f>
        <v/>
      </c>
      <c r="Y21" s="56"/>
      <c r="Z21" s="294"/>
      <c r="AA21" s="295"/>
      <c r="AB21" s="295"/>
      <c r="AC21" s="295"/>
      <c r="AD21" s="295"/>
      <c r="AE21" s="29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row>
    <row r="22" spans="1:61" ht="15" customHeight="1" x14ac:dyDescent="0.35">
      <c r="A22" s="56"/>
      <c r="B22" s="300"/>
      <c r="C22" s="300"/>
      <c r="D22" s="301"/>
      <c r="E22" s="289"/>
      <c r="F22" s="290"/>
      <c r="G22" s="290"/>
      <c r="H22" s="290"/>
      <c r="I22" s="288"/>
      <c r="J22" s="105" t="str">
        <f>IF(AND('Mapa final'!$AB$52="Muy Alta",'Mapa final'!$AD$52="Leve"),CONCATENATE("R17C",'Mapa final'!$R$52),"")</f>
        <v/>
      </c>
      <c r="K22" s="42" t="str">
        <f>IF(AND('Mapa final'!$AB$53="Muy Alta",'Mapa final'!$AD$53="Leve"),CONCATENATE("R17C",'Mapa final'!$R$53),"")</f>
        <v/>
      </c>
      <c r="L22" s="106" t="str">
        <f>IF(AND('Mapa final'!$AB$54="Muy Alta",'Mapa final'!$AD$54="Leve"),CONCATENATE("R17C",'Mapa final'!$R$54),"")</f>
        <v/>
      </c>
      <c r="M22" s="105" t="str">
        <f>IF(AND('Mapa final'!$AB$52="Muy Alta",'Mapa final'!$AD$52="Menor"),CONCATENATE("R17C",'Mapa final'!$R$52),"")</f>
        <v/>
      </c>
      <c r="N22" s="42" t="str">
        <f>IF(AND('Mapa final'!$AB$53="Muy Alta",'Mapa final'!$AD$53="Menor"),CONCATENATE("R17C",'Mapa final'!$R$53),"")</f>
        <v/>
      </c>
      <c r="O22" s="106" t="str">
        <f>IF(AND('Mapa final'!$AB$54="Muy Alta",'Mapa final'!$AD$54="Menor"),CONCATENATE("R17C",'Mapa final'!$R$54),"")</f>
        <v/>
      </c>
      <c r="P22" s="105" t="str">
        <f>IF(AND('Mapa final'!$AB$52="Muy Alta",'Mapa final'!$AD$52="Moderado"),CONCATENATE("R17C",'Mapa final'!$R$52),"")</f>
        <v/>
      </c>
      <c r="Q22" s="42" t="str">
        <f>IF(AND('Mapa final'!$AB$53="Muy Alta",'Mapa final'!$AD$53="Moderado"),CONCATENATE("R17C",'Mapa final'!$R$53),"")</f>
        <v/>
      </c>
      <c r="R22" s="106" t="str">
        <f>IF(AND('Mapa final'!$AB$54="Muy Alta",'Mapa final'!$AD$54="Moderado"),CONCATENATE("R17C",'Mapa final'!$R$54),"")</f>
        <v/>
      </c>
      <c r="S22" s="105" t="str">
        <f>IF(AND('Mapa final'!$AB$52="Muy Alta",'Mapa final'!$AD$52="Mayor"),CONCATENATE("R17C",'Mapa final'!$R$52),"")</f>
        <v/>
      </c>
      <c r="T22" s="42" t="str">
        <f>IF(AND('Mapa final'!$AB$53="Muy Alta",'Mapa final'!$AD$53="Mayor"),CONCATENATE("R17C",'Mapa final'!$R$53),"")</f>
        <v/>
      </c>
      <c r="U22" s="106" t="str">
        <f>IF(AND('Mapa final'!$AB$54="Muy Alta",'Mapa final'!$AD$54="Mayor"),CONCATENATE("R17C",'Mapa final'!$R$54),"")</f>
        <v/>
      </c>
      <c r="V22" s="43" t="str">
        <f>IF(AND('Mapa final'!$AB$52="Muy Alta",'Mapa final'!$AD$52="Catastrófico"),CONCATENATE("R17C",'Mapa final'!$R$52),"")</f>
        <v/>
      </c>
      <c r="W22" s="44" t="str">
        <f>IF(AND('Mapa final'!$AB$53="Muy Alta",'Mapa final'!$AD$53="Catastrófico"),CONCATENATE("R17C",'Mapa final'!$R$53),"")</f>
        <v/>
      </c>
      <c r="X22" s="100" t="str">
        <f>IF(AND('Mapa final'!$AB$54="Muy Alta",'Mapa final'!$AD$54="Catastrófico"),CONCATENATE("R17C",'Mapa final'!$R$54),"")</f>
        <v/>
      </c>
      <c r="Y22" s="56"/>
      <c r="Z22" s="294"/>
      <c r="AA22" s="295"/>
      <c r="AB22" s="295"/>
      <c r="AC22" s="295"/>
      <c r="AD22" s="295"/>
      <c r="AE22" s="29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row>
    <row r="23" spans="1:61" ht="15" customHeight="1" x14ac:dyDescent="0.35">
      <c r="A23" s="56"/>
      <c r="B23" s="300"/>
      <c r="C23" s="300"/>
      <c r="D23" s="301"/>
      <c r="E23" s="289"/>
      <c r="F23" s="290"/>
      <c r="G23" s="290"/>
      <c r="H23" s="290"/>
      <c r="I23" s="288"/>
      <c r="J23" s="105" t="str">
        <f>IF(AND('Mapa final'!$AB$55="Muy Alta",'Mapa final'!$AD$55="Leve"),CONCATENATE("R18C",'Mapa final'!$R$55),"")</f>
        <v/>
      </c>
      <c r="K23" s="42" t="str">
        <f>IF(AND('Mapa final'!$AB$56="Muy Alta",'Mapa final'!$AD$56="Leve"),CONCATENATE("R18C",'Mapa final'!$R$56),"")</f>
        <v/>
      </c>
      <c r="L23" s="106" t="str">
        <f>IF(AND('Mapa final'!$AB$57="Muy Alta",'Mapa final'!$AD$57="Leve"),CONCATENATE("R18C",'Mapa final'!$R$57),"")</f>
        <v/>
      </c>
      <c r="M23" s="105" t="str">
        <f>IF(AND('Mapa final'!$AB$55="Muy Alta",'Mapa final'!$AD$55="Menor"),CONCATENATE("R18C",'Mapa final'!$R$55),"")</f>
        <v/>
      </c>
      <c r="N23" s="42" t="str">
        <f>IF(AND('Mapa final'!$AB$56="Muy Alta",'Mapa final'!$AD$56="Menor"),CONCATENATE("R18C",'Mapa final'!$R$56),"")</f>
        <v/>
      </c>
      <c r="O23" s="106" t="str">
        <f>IF(AND('Mapa final'!$AB$57="Muy Alta",'Mapa final'!$AD$57="Menor"),CONCATENATE("R18C",'Mapa final'!$R$57),"")</f>
        <v/>
      </c>
      <c r="P23" s="105" t="str">
        <f>IF(AND('Mapa final'!$AB$55="Muy Alta",'Mapa final'!$AD$55="Moderado"),CONCATENATE("R18C",'Mapa final'!$R$55),"")</f>
        <v/>
      </c>
      <c r="Q23" s="42" t="str">
        <f>IF(AND('Mapa final'!$AB$56="Muy Alta",'Mapa final'!$AD$56="Moderado"),CONCATENATE("R18C",'Mapa final'!$R$56),"")</f>
        <v/>
      </c>
      <c r="R23" s="106" t="str">
        <f>IF(AND('Mapa final'!$AB$57="Muy Alta",'Mapa final'!$AD$57="Moderado"),CONCATENATE("R18C",'Mapa final'!$R$57),"")</f>
        <v/>
      </c>
      <c r="S23" s="105" t="str">
        <f>IF(AND('Mapa final'!$AB$55="Muy Alta",'Mapa final'!$AD$55="Mayor"),CONCATENATE("R18C",'Mapa final'!$R$55),"")</f>
        <v/>
      </c>
      <c r="T23" s="42" t="str">
        <f>IF(AND('Mapa final'!$AB$56="Muy Alta",'Mapa final'!$AD$56="Mayor"),CONCATENATE("R18C",'Mapa final'!$R$56),"")</f>
        <v/>
      </c>
      <c r="U23" s="106" t="str">
        <f>IF(AND('Mapa final'!$AB$57="Muy Alta",'Mapa final'!$AD$57="Mayor"),CONCATENATE("R18C",'Mapa final'!$R$57),"")</f>
        <v/>
      </c>
      <c r="V23" s="43" t="str">
        <f>IF(AND('Mapa final'!$AB$55="Muy Alta",'Mapa final'!$AD$55="Catastrófico"),CONCATENATE("R18C",'Mapa final'!$R$55),"")</f>
        <v/>
      </c>
      <c r="W23" s="44" t="str">
        <f>IF(AND('Mapa final'!$AB$56="Muy Alta",'Mapa final'!$AD$56="Catastrófico"),CONCATENATE("R18C",'Mapa final'!$R$56),"")</f>
        <v/>
      </c>
      <c r="X23" s="100" t="str">
        <f>IF(AND('Mapa final'!$AB$57="Muy Alta",'Mapa final'!$AD$57="Catastrófico"),CONCATENATE("R18C",'Mapa final'!$R$57),"")</f>
        <v/>
      </c>
      <c r="Y23" s="56"/>
      <c r="Z23" s="294"/>
      <c r="AA23" s="295"/>
      <c r="AB23" s="295"/>
      <c r="AC23" s="295"/>
      <c r="AD23" s="295"/>
      <c r="AE23" s="29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row>
    <row r="24" spans="1:61" ht="15" customHeight="1" x14ac:dyDescent="0.35">
      <c r="A24" s="56"/>
      <c r="B24" s="300"/>
      <c r="C24" s="300"/>
      <c r="D24" s="301"/>
      <c r="E24" s="289"/>
      <c r="F24" s="290"/>
      <c r="G24" s="290"/>
      <c r="H24" s="290"/>
      <c r="I24" s="288"/>
      <c r="J24" s="105" t="str">
        <f>IF(AND('Mapa final'!$AB$58="Muy Alta",'Mapa final'!$AD$58="Leve"),CONCATENATE("R19C",'Mapa final'!$R$58),"")</f>
        <v/>
      </c>
      <c r="K24" s="42" t="str">
        <f>IF(AND('Mapa final'!$AB$59="Muy Alta",'Mapa final'!$AD$59="Leve"),CONCATENATE("R19C",'Mapa final'!$R$59),"")</f>
        <v/>
      </c>
      <c r="L24" s="106" t="str">
        <f>IF(AND('Mapa final'!$AB$60="Muy Alta",'Mapa final'!$AD$60="Leve"),CONCATENATE("R19C",'Mapa final'!$R$60),"")</f>
        <v/>
      </c>
      <c r="M24" s="105" t="str">
        <f>IF(AND('Mapa final'!$AB$58="Muy Alta",'Mapa final'!$AD$58="Menor"),CONCATENATE("R19C",'Mapa final'!$R$58),"")</f>
        <v/>
      </c>
      <c r="N24" s="42" t="str">
        <f>IF(AND('Mapa final'!$AB$59="Muy Alta",'Mapa final'!$AD$59="Menor"),CONCATENATE("R19C",'Mapa final'!$R$59),"")</f>
        <v/>
      </c>
      <c r="O24" s="106" t="str">
        <f>IF(AND('Mapa final'!$AB$60="Muy Alta",'Mapa final'!$AD$60="Menor"),CONCATENATE("R19C",'Mapa final'!$R$60),"")</f>
        <v/>
      </c>
      <c r="P24" s="105" t="str">
        <f>IF(AND('Mapa final'!$AB$58="Muy Alta",'Mapa final'!$AD$58="Moderado"),CONCATENATE("R19C",'Mapa final'!$R$58),"")</f>
        <v/>
      </c>
      <c r="Q24" s="42" t="str">
        <f>IF(AND('Mapa final'!$AB$59="Muy Alta",'Mapa final'!$AD$59="Moderado"),CONCATENATE("R19C",'Mapa final'!$R$59),"")</f>
        <v/>
      </c>
      <c r="R24" s="106" t="str">
        <f>IF(AND('Mapa final'!$AB$60="Muy Alta",'Mapa final'!$AD$60="Moderado"),CONCATENATE("R19C",'Mapa final'!$R$60),"")</f>
        <v/>
      </c>
      <c r="S24" s="105" t="str">
        <f>IF(AND('Mapa final'!$AB$58="Muy Alta",'Mapa final'!$AD$58="Mayor"),CONCATENATE("R19C",'Mapa final'!$R$58),"")</f>
        <v/>
      </c>
      <c r="T24" s="42" t="str">
        <f>IF(AND('Mapa final'!$AB$59="Muy Alta",'Mapa final'!$AD$59="Mayor"),CONCATENATE("R19C",'Mapa final'!$R$59),"")</f>
        <v/>
      </c>
      <c r="U24" s="106" t="str">
        <f>IF(AND('Mapa final'!$AB$60="Muy Alta",'Mapa final'!$AD$60="Mayor"),CONCATENATE("R19C",'Mapa final'!$R$60),"")</f>
        <v/>
      </c>
      <c r="V24" s="43" t="str">
        <f>IF(AND('Mapa final'!$AB$58="Muy Alta",'Mapa final'!$AD$58="Catastrófico"),CONCATENATE("R19C",'Mapa final'!$R$58),"")</f>
        <v/>
      </c>
      <c r="W24" s="44" t="str">
        <f>IF(AND('Mapa final'!$AB$59="Muy Alta",'Mapa final'!$AD$59="Catastrófico"),CONCATENATE("R19C",'Mapa final'!$R$59),"")</f>
        <v/>
      </c>
      <c r="X24" s="100" t="str">
        <f>IF(AND('Mapa final'!$AB$60="Muy Alta",'Mapa final'!$AD$60="Catastrófico"),CONCATENATE("R19C",'Mapa final'!$R$60),"")</f>
        <v/>
      </c>
      <c r="Y24" s="56"/>
      <c r="Z24" s="294"/>
      <c r="AA24" s="295"/>
      <c r="AB24" s="295"/>
      <c r="AC24" s="295"/>
      <c r="AD24" s="295"/>
      <c r="AE24" s="29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row>
    <row r="25" spans="1:61" ht="15" customHeight="1" x14ac:dyDescent="0.35">
      <c r="A25" s="56"/>
      <c r="B25" s="300"/>
      <c r="C25" s="300"/>
      <c r="D25" s="301"/>
      <c r="E25" s="289"/>
      <c r="F25" s="290"/>
      <c r="G25" s="290"/>
      <c r="H25" s="290"/>
      <c r="I25" s="288"/>
      <c r="J25" s="105" t="str">
        <f>IF(AND('Mapa final'!$AB$61="Muy Alta",'Mapa final'!$AD$61="Leve"),CONCATENATE("R20C",'Mapa final'!$R$61),"")</f>
        <v/>
      </c>
      <c r="K25" s="42" t="str">
        <f>IF(AND('Mapa final'!$AB$62="Muy Alta",'Mapa final'!$AD$62="Leve"),CONCATENATE("R20C",'Mapa final'!$R$62),"")</f>
        <v/>
      </c>
      <c r="L25" s="106" t="str">
        <f>IF(AND('Mapa final'!$AB$63="Muy Alta",'Mapa final'!$AD$63="Leve"),CONCATENATE("R20C",'Mapa final'!$R$63),"")</f>
        <v/>
      </c>
      <c r="M25" s="105" t="str">
        <f>IF(AND('Mapa final'!$AB$61="Muy Alta",'Mapa final'!$AD$61="Menor"),CONCATENATE("R20C",'Mapa final'!$R$61),"")</f>
        <v/>
      </c>
      <c r="N25" s="42" t="str">
        <f>IF(AND('Mapa final'!$AB$62="Muy Alta",'Mapa final'!$AD$62="Menor"),CONCATENATE("R20C",'Mapa final'!$R$62),"")</f>
        <v/>
      </c>
      <c r="O25" s="106" t="str">
        <f>IF(AND('Mapa final'!$AB$63="Muy Alta",'Mapa final'!$AD$63="Menor"),CONCATENATE("R20C",'Mapa final'!$R$63),"")</f>
        <v/>
      </c>
      <c r="P25" s="105" t="str">
        <f>IF(AND('Mapa final'!$AB$61="Muy Alta",'Mapa final'!$AD$61="Moderado"),CONCATENATE("R20C",'Mapa final'!$R$61),"")</f>
        <v/>
      </c>
      <c r="Q25" s="42" t="str">
        <f>IF(AND('Mapa final'!$AB$62="Muy Alta",'Mapa final'!$AD$62="Moderado"),CONCATENATE("R20C",'Mapa final'!$R$62),"")</f>
        <v/>
      </c>
      <c r="R25" s="106" t="str">
        <f>IF(AND('Mapa final'!$AB$63="Muy Alta",'Mapa final'!$AD$63="Moderado"),CONCATENATE("R20C",'Mapa final'!$R$63),"")</f>
        <v/>
      </c>
      <c r="S25" s="105" t="str">
        <f>IF(AND('Mapa final'!$AB$61="Muy Alta",'Mapa final'!$AD$61="Mayor"),CONCATENATE("R20C",'Mapa final'!$R$61),"")</f>
        <v/>
      </c>
      <c r="T25" s="42" t="str">
        <f>IF(AND('Mapa final'!$AB$62="Muy Alta",'Mapa final'!$AD$62="Mayor"),CONCATENATE("R20C",'Mapa final'!$R$62),"")</f>
        <v/>
      </c>
      <c r="U25" s="106" t="str">
        <f>IF(AND('Mapa final'!$AB$63="Muy Alta",'Mapa final'!$AD$63="Mayor"),CONCATENATE("R20C",'Mapa final'!$R$63),"")</f>
        <v/>
      </c>
      <c r="V25" s="43" t="str">
        <f>IF(AND('Mapa final'!$AB$61="Muy Alta",'Mapa final'!$AD$61="Catastrófico"),CONCATENATE("R20C",'Mapa final'!$R$61),"")</f>
        <v/>
      </c>
      <c r="W25" s="44" t="str">
        <f>IF(AND('Mapa final'!$AB$62="Muy Alta",'Mapa final'!$AD$62="Catastrófico"),CONCATENATE("R20C",'Mapa final'!$R$62),"")</f>
        <v/>
      </c>
      <c r="X25" s="100" t="str">
        <f>IF(AND('Mapa final'!$AB$63="Muy Alta",'Mapa final'!$AD$63="Catastrófico"),CONCATENATE("R20C",'Mapa final'!$R$63),"")</f>
        <v/>
      </c>
      <c r="Y25" s="56"/>
      <c r="Z25" s="294"/>
      <c r="AA25" s="295"/>
      <c r="AB25" s="295"/>
      <c r="AC25" s="295"/>
      <c r="AD25" s="295"/>
      <c r="AE25" s="29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row>
    <row r="26" spans="1:61" ht="15" customHeight="1" x14ac:dyDescent="0.35">
      <c r="A26" s="56"/>
      <c r="B26" s="300"/>
      <c r="C26" s="300"/>
      <c r="D26" s="301"/>
      <c r="E26" s="289"/>
      <c r="F26" s="290"/>
      <c r="G26" s="290"/>
      <c r="H26" s="290"/>
      <c r="I26" s="288"/>
      <c r="J26" s="105" t="str">
        <f>IF(AND('Mapa final'!$AB$64="Muy Alta",'Mapa final'!$AD$64="Leve"),CONCATENATE("R21C",'Mapa final'!$R$64),"")</f>
        <v/>
      </c>
      <c r="K26" s="42" t="str">
        <f>IF(AND('Mapa final'!$AB$65="Muy Alta",'Mapa final'!$AD$65="Leve"),CONCATENATE("R21C",'Mapa final'!$R$65),"")</f>
        <v/>
      </c>
      <c r="L26" s="106" t="str">
        <f>IF(AND('Mapa final'!$AB$66="Muy Alta",'Mapa final'!$AD$66="Leve"),CONCATENATE("R21C",'Mapa final'!$R$66),"")</f>
        <v/>
      </c>
      <c r="M26" s="105" t="str">
        <f>IF(AND('Mapa final'!$AB$64="Muy Alta",'Mapa final'!$AD$64="Menor"),CONCATENATE("R21C",'Mapa final'!$R$64),"")</f>
        <v/>
      </c>
      <c r="N26" s="42" t="str">
        <f>IF(AND('Mapa final'!$AB$65="Muy Alta",'Mapa final'!$AD$65="Menor"),CONCATENATE("R21C",'Mapa final'!$R$65),"")</f>
        <v/>
      </c>
      <c r="O26" s="106" t="str">
        <f>IF(AND('Mapa final'!$AB$66="Muy Alta",'Mapa final'!$AD$66="Menor"),CONCATENATE("R21C",'Mapa final'!$R$66),"")</f>
        <v/>
      </c>
      <c r="P26" s="105" t="str">
        <f>IF(AND('Mapa final'!$AB$64="Muy Alta",'Mapa final'!$AD$64="Moderado"),CONCATENATE("R21C",'Mapa final'!$R$64),"")</f>
        <v/>
      </c>
      <c r="Q26" s="42" t="str">
        <f>IF(AND('Mapa final'!$AB$65="Muy Alta",'Mapa final'!$AD$65="Moderado"),CONCATENATE("R21C",'Mapa final'!$R$65),"")</f>
        <v/>
      </c>
      <c r="R26" s="106" t="str">
        <f>IF(AND('Mapa final'!$AB$66="Muy Alta",'Mapa final'!$AD$66="Moderado"),CONCATENATE("R21C",'Mapa final'!$R$66),"")</f>
        <v/>
      </c>
      <c r="S26" s="105" t="str">
        <f>IF(AND('Mapa final'!$AB$64="Muy Alta",'Mapa final'!$AD$64="Mayor"),CONCATENATE("R21C",'Mapa final'!$R$64),"")</f>
        <v/>
      </c>
      <c r="T26" s="42" t="str">
        <f>IF(AND('Mapa final'!$AB$65="Muy Alta",'Mapa final'!$AD$65="Mayor"),CONCATENATE("R21C",'Mapa final'!$R$65),"")</f>
        <v/>
      </c>
      <c r="U26" s="106" t="str">
        <f>IF(AND('Mapa final'!$AB$66="Muy Alta",'Mapa final'!$AD$66="Mayor"),CONCATENATE("R21C",'Mapa final'!$R$66),"")</f>
        <v/>
      </c>
      <c r="V26" s="43" t="str">
        <f>IF(AND('Mapa final'!$AB$64="Muy Alta",'Mapa final'!$AD$64="Catastrófico"),CONCATENATE("R21C",'Mapa final'!$R$64),"")</f>
        <v/>
      </c>
      <c r="W26" s="44" t="str">
        <f>IF(AND('Mapa final'!$AB$65="Muy Alta",'Mapa final'!$AD$65="Catastrófico"),CONCATENATE("R21C",'Mapa final'!$R$65),"")</f>
        <v/>
      </c>
      <c r="X26" s="100" t="str">
        <f>IF(AND('Mapa final'!$AB$66="Muy Alta",'Mapa final'!$AD$66="Catastrófico"),CONCATENATE("R21C",'Mapa final'!$R$66),"")</f>
        <v/>
      </c>
      <c r="Y26" s="56"/>
      <c r="Z26" s="294"/>
      <c r="AA26" s="295"/>
      <c r="AB26" s="295"/>
      <c r="AC26" s="295"/>
      <c r="AD26" s="295"/>
      <c r="AE26" s="29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row>
    <row r="27" spans="1:61" ht="15" customHeight="1" x14ac:dyDescent="0.35">
      <c r="A27" s="56"/>
      <c r="B27" s="300"/>
      <c r="C27" s="300"/>
      <c r="D27" s="301"/>
      <c r="E27" s="289"/>
      <c r="F27" s="290"/>
      <c r="G27" s="290"/>
      <c r="H27" s="290"/>
      <c r="I27" s="288"/>
      <c r="J27" s="105" t="str">
        <f>IF(AND('Mapa final'!$AB$67="Muy Alta",'Mapa final'!$AD$67="Leve"),CONCATENATE("R22C",'Mapa final'!$R$67),"")</f>
        <v/>
      </c>
      <c r="K27" s="42" t="str">
        <f>IF(AND('Mapa final'!$AB$68="Muy Alta",'Mapa final'!$AD$68="Leve"),CONCATENATE("R22C",'Mapa final'!$R$68),"")</f>
        <v/>
      </c>
      <c r="L27" s="106" t="str">
        <f>IF(AND('Mapa final'!$AB$69="Muy Alta",'Mapa final'!$AD$69="Leve"),CONCATENATE("R22C",'Mapa final'!$R$69),"")</f>
        <v/>
      </c>
      <c r="M27" s="105" t="str">
        <f>IF(AND('Mapa final'!$AB$67="Muy Alta",'Mapa final'!$AD$67="Menor"),CONCATENATE("R22C",'Mapa final'!$R$67),"")</f>
        <v/>
      </c>
      <c r="N27" s="42" t="str">
        <f>IF(AND('Mapa final'!$AB$68="Muy Alta",'Mapa final'!$AD$68="Menor"),CONCATENATE("R22C",'Mapa final'!$R$68),"")</f>
        <v/>
      </c>
      <c r="O27" s="106" t="str">
        <f>IF(AND('Mapa final'!$AB$69="Muy Alta",'Mapa final'!$AD$69="Menor"),CONCATENATE("R22C",'Mapa final'!$R$69),"")</f>
        <v/>
      </c>
      <c r="P27" s="105" t="str">
        <f>IF(AND('Mapa final'!$AB$67="Muy Alta",'Mapa final'!$AD$67="Moderado"),CONCATENATE("R22C",'Mapa final'!$R$67),"")</f>
        <v/>
      </c>
      <c r="Q27" s="42" t="str">
        <f>IF(AND('Mapa final'!$AB$68="Muy Alta",'Mapa final'!$AD$68="Moderado"),CONCATENATE("R22C",'Mapa final'!$R$68),"")</f>
        <v/>
      </c>
      <c r="R27" s="106" t="str">
        <f>IF(AND('Mapa final'!$AB$69="Muy Alta",'Mapa final'!$AD$69="Moderado"),CONCATENATE("R22C",'Mapa final'!$R$69),"")</f>
        <v/>
      </c>
      <c r="S27" s="105" t="str">
        <f>IF(AND('Mapa final'!$AB$67="Muy Alta",'Mapa final'!$AD$67="Mayor"),CONCATENATE("R22C",'Mapa final'!$R$67),"")</f>
        <v/>
      </c>
      <c r="T27" s="42" t="str">
        <f>IF(AND('Mapa final'!$AB$68="Muy Alta",'Mapa final'!$AD$68="Mayor"),CONCATENATE("R22C",'Mapa final'!$R$68),"")</f>
        <v/>
      </c>
      <c r="U27" s="106" t="str">
        <f>IF(AND('Mapa final'!$AB$69="Muy Alta",'Mapa final'!$AD$69="Mayor"),CONCATENATE("R22C",'Mapa final'!$R$69),"")</f>
        <v/>
      </c>
      <c r="V27" s="43" t="str">
        <f>IF(AND('Mapa final'!$AB$67="Muy Alta",'Mapa final'!$AD$67="Catastrófico"),CONCATENATE("R22C",'Mapa final'!$R$67),"")</f>
        <v/>
      </c>
      <c r="W27" s="44" t="str">
        <f>IF(AND('Mapa final'!$AB$68="Muy Alta",'Mapa final'!$AD$68="Catastrófico"),CONCATENATE("R22C",'Mapa final'!$R$68),"")</f>
        <v/>
      </c>
      <c r="X27" s="100" t="str">
        <f>IF(AND('Mapa final'!$AB$69="Muy Alta",'Mapa final'!$AD$69="Catastrófico"),CONCATENATE("R22C",'Mapa final'!$R$69),"")</f>
        <v/>
      </c>
      <c r="Y27" s="56"/>
      <c r="Z27" s="294"/>
      <c r="AA27" s="295"/>
      <c r="AB27" s="295"/>
      <c r="AC27" s="295"/>
      <c r="AD27" s="295"/>
      <c r="AE27" s="29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row>
    <row r="28" spans="1:61" ht="15" customHeight="1" x14ac:dyDescent="0.35">
      <c r="A28" s="56"/>
      <c r="B28" s="300"/>
      <c r="C28" s="300"/>
      <c r="D28" s="301"/>
      <c r="E28" s="289"/>
      <c r="F28" s="290"/>
      <c r="G28" s="290"/>
      <c r="H28" s="290"/>
      <c r="I28" s="288"/>
      <c r="J28" s="105" t="str">
        <f>IF(AND('Mapa final'!$AB$73="Muy Alta",'Mapa final'!$AD$73="Leve"),CONCATENATE("R23C",'Mapa final'!$R$73),"")</f>
        <v/>
      </c>
      <c r="K28" s="42" t="str">
        <f>IF(AND('Mapa final'!$AB$74="Muy Alta",'Mapa final'!$AD$74="Leve"),CONCATENATE("R23C",'Mapa final'!$R$74),"")</f>
        <v/>
      </c>
      <c r="L28" s="106" t="str">
        <f>IF(AND('Mapa final'!$AB$75="Muy Alta",'Mapa final'!$AD$75="Leve"),CONCATENATE("R23C",'Mapa final'!$R$75),"")</f>
        <v/>
      </c>
      <c r="M28" s="105" t="str">
        <f>IF(AND('Mapa final'!$AB$73="Muy Alta",'Mapa final'!$AD$73="Menor"),CONCATENATE("R23C",'Mapa final'!$R$73),"")</f>
        <v/>
      </c>
      <c r="N28" s="42" t="str">
        <f>IF(AND('Mapa final'!$AB$74="Muy Alta",'Mapa final'!$AD$74="Menor"),CONCATENATE("R23C",'Mapa final'!$R$74),"")</f>
        <v/>
      </c>
      <c r="O28" s="106" t="str">
        <f>IF(AND('Mapa final'!$AB$75="Muy Alta",'Mapa final'!$AD$75="Menor"),CONCATENATE("R23C",'Mapa final'!$R$75),"")</f>
        <v/>
      </c>
      <c r="P28" s="105" t="str">
        <f>IF(AND('Mapa final'!$AB$73="Muy Alta",'Mapa final'!$AD$73="Moderado"),CONCATENATE("R23C",'Mapa final'!$R$73),"")</f>
        <v/>
      </c>
      <c r="Q28" s="42" t="str">
        <f>IF(AND('Mapa final'!$AB$74="Muy Alta",'Mapa final'!$AD$74="Moderado"),CONCATENATE("R23C",'Mapa final'!$R$74),"")</f>
        <v/>
      </c>
      <c r="R28" s="106" t="str">
        <f>IF(AND('Mapa final'!$AB$75="Muy Alta",'Mapa final'!$AD$75="Moderado"),CONCATENATE("R23C",'Mapa final'!$R$75),"")</f>
        <v/>
      </c>
      <c r="S28" s="105" t="str">
        <f>IF(AND('Mapa final'!$AB$73="Muy Alta",'Mapa final'!$AD$73="Mayor"),CONCATENATE("R23C",'Mapa final'!$R$73),"")</f>
        <v/>
      </c>
      <c r="T28" s="42" t="str">
        <f>IF(AND('Mapa final'!$AB$74="Muy Alta",'Mapa final'!$AD$74="Mayor"),CONCATENATE("R23C",'Mapa final'!$R$74),"")</f>
        <v/>
      </c>
      <c r="U28" s="106" t="str">
        <f>IF(AND('Mapa final'!$AB$75="Muy Alta",'Mapa final'!$AD$75="Mayor"),CONCATENATE("R23C",'Mapa final'!$R$75),"")</f>
        <v/>
      </c>
      <c r="V28" s="43" t="str">
        <f>IF(AND('Mapa final'!$AB$73="Muy Alta",'Mapa final'!$AD$73="Catastrófico"),CONCATENATE("R23C",'Mapa final'!$R$73),"")</f>
        <v/>
      </c>
      <c r="W28" s="44" t="str">
        <f>IF(AND('Mapa final'!$AB$74="Muy Alta",'Mapa final'!$AD$74="Catastrófico"),CONCATENATE("R23C",'Mapa final'!$R$74),"")</f>
        <v/>
      </c>
      <c r="X28" s="100" t="str">
        <f>IF(AND('Mapa final'!$AB$75="Muy Alta",'Mapa final'!$AD$75="Catastrófico"),CONCATENATE("R23C",'Mapa final'!$R$75),"")</f>
        <v/>
      </c>
      <c r="Y28" s="56"/>
      <c r="Z28" s="294"/>
      <c r="AA28" s="295"/>
      <c r="AB28" s="295"/>
      <c r="AC28" s="295"/>
      <c r="AD28" s="295"/>
      <c r="AE28" s="29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row>
    <row r="29" spans="1:61" ht="15" customHeight="1" x14ac:dyDescent="0.35">
      <c r="A29" s="56"/>
      <c r="B29" s="300"/>
      <c r="C29" s="300"/>
      <c r="D29" s="301"/>
      <c r="E29" s="289"/>
      <c r="F29" s="290"/>
      <c r="G29" s="290"/>
      <c r="H29" s="290"/>
      <c r="I29" s="288"/>
      <c r="J29" s="105" t="str">
        <f>IF(AND('Mapa final'!$AB$76="Muy Alta",'Mapa final'!$AD$76="Leve"),CONCATENATE("R24C",'Mapa final'!$R$76),"")</f>
        <v/>
      </c>
      <c r="K29" s="42" t="str">
        <f>IF(AND('Mapa final'!$AB$77="Muy Alta",'Mapa final'!$AD$77="Leve"),CONCATENATE("R24C",'Mapa final'!$R$77),"")</f>
        <v/>
      </c>
      <c r="L29" s="106" t="str">
        <f>IF(AND('Mapa final'!$AB$78="Muy Alta",'Mapa final'!$AD$78="Leve"),CONCATENATE("R24C",'Mapa final'!$R$78),"")</f>
        <v/>
      </c>
      <c r="M29" s="105" t="str">
        <f>IF(AND('Mapa final'!$AB$76="Muy Alta",'Mapa final'!$AD$76="Menor"),CONCATENATE("R24C",'Mapa final'!$R$76),"")</f>
        <v/>
      </c>
      <c r="N29" s="42" t="str">
        <f>IF(AND('Mapa final'!$AB$77="Muy Alta",'Mapa final'!$AD$77="Menor"),CONCATENATE("R24C",'Mapa final'!$R$77),"")</f>
        <v/>
      </c>
      <c r="O29" s="106" t="str">
        <f>IF(AND('Mapa final'!$AB$78="Muy Alta",'Mapa final'!$AD$78="Menor"),CONCATENATE("R24C",'Mapa final'!$R$78),"")</f>
        <v/>
      </c>
      <c r="P29" s="105" t="str">
        <f>IF(AND('Mapa final'!$AB$76="Muy Alta",'Mapa final'!$AD$76="Moderado"),CONCATENATE("R24C",'Mapa final'!$R$76),"")</f>
        <v/>
      </c>
      <c r="Q29" s="42" t="str">
        <f>IF(AND('Mapa final'!$AB$77="Muy Alta",'Mapa final'!$AD$77="Moderado"),CONCATENATE("R24C",'Mapa final'!$R$77),"")</f>
        <v/>
      </c>
      <c r="R29" s="106" t="str">
        <f>IF(AND('Mapa final'!$AB$78="Muy Alta",'Mapa final'!$AD$78="Moderado"),CONCATENATE("R24C",'Mapa final'!$R$78),"")</f>
        <v/>
      </c>
      <c r="S29" s="105" t="str">
        <f>IF(AND('Mapa final'!$AB$76="Muy Alta",'Mapa final'!$AD$76="Mayor"),CONCATENATE("R24C",'Mapa final'!$R$76),"")</f>
        <v/>
      </c>
      <c r="T29" s="42" t="str">
        <f>IF(AND('Mapa final'!$AB$77="Muy Alta",'Mapa final'!$AD$77="Mayor"),CONCATENATE("R24C",'Mapa final'!$R$77),"")</f>
        <v/>
      </c>
      <c r="U29" s="106" t="str">
        <f>IF(AND('Mapa final'!$AB$78="Muy Alta",'Mapa final'!$AD$78="Mayor"),CONCATENATE("R24C",'Mapa final'!$R$78),"")</f>
        <v/>
      </c>
      <c r="V29" s="43" t="str">
        <f>IF(AND('Mapa final'!$AB$76="Muy Alta",'Mapa final'!$AD$76="Catastrófico"),CONCATENATE("R24C",'Mapa final'!$R$76),"")</f>
        <v/>
      </c>
      <c r="W29" s="44" t="str">
        <f>IF(AND('Mapa final'!$AB$77="Muy Alta",'Mapa final'!$AD$77="Catastrófico"),CONCATENATE("R24C",'Mapa final'!$R$77),"")</f>
        <v/>
      </c>
      <c r="X29" s="100" t="str">
        <f>IF(AND('Mapa final'!$AB$78="Muy Alta",'Mapa final'!$AD$78="Catastrófico"),CONCATENATE("R24C",'Mapa final'!$R$78),"")</f>
        <v/>
      </c>
      <c r="Y29" s="56"/>
      <c r="Z29" s="294"/>
      <c r="AA29" s="295"/>
      <c r="AB29" s="295"/>
      <c r="AC29" s="295"/>
      <c r="AD29" s="295"/>
      <c r="AE29" s="29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row>
    <row r="30" spans="1:61" ht="15" customHeight="1" x14ac:dyDescent="0.35">
      <c r="A30" s="56"/>
      <c r="B30" s="300"/>
      <c r="C30" s="300"/>
      <c r="D30" s="301"/>
      <c r="E30" s="289"/>
      <c r="F30" s="290"/>
      <c r="G30" s="290"/>
      <c r="H30" s="290"/>
      <c r="I30" s="288"/>
      <c r="J30" s="105" t="str">
        <f>IF(AND('Mapa final'!$AB$79="Muy Alta",'Mapa final'!$AD$79="Leve"),CONCATENATE("R25C",'Mapa final'!$R$79),"")</f>
        <v/>
      </c>
      <c r="K30" s="42" t="str">
        <f>IF(AND('Mapa final'!$AB$80="Muy Alta",'Mapa final'!$AD$80="Leve"),CONCATENATE("R25C",'Mapa final'!$R$80),"")</f>
        <v/>
      </c>
      <c r="L30" s="106" t="str">
        <f>IF(AND('Mapa final'!$AB$81="Muy Alta",'Mapa final'!$AD$81="Leve"),CONCATENATE("R25C",'Mapa final'!$R$81),"")</f>
        <v/>
      </c>
      <c r="M30" s="105" t="str">
        <f>IF(AND('Mapa final'!$AB$79="Muy Alta",'Mapa final'!$AD$79="Menor"),CONCATENATE("R25C",'Mapa final'!$R$79),"")</f>
        <v/>
      </c>
      <c r="N30" s="42" t="str">
        <f>IF(AND('Mapa final'!$AB$80="Muy Alta",'Mapa final'!$AD$80="Menor"),CONCATENATE("R25C",'Mapa final'!$R$80),"")</f>
        <v/>
      </c>
      <c r="O30" s="106" t="str">
        <f>IF(AND('Mapa final'!$AB$81="Muy Alta",'Mapa final'!$AD$81="Menor"),CONCATENATE("R25C",'Mapa final'!$R$81),"")</f>
        <v/>
      </c>
      <c r="P30" s="105" t="str">
        <f>IF(AND('Mapa final'!$AB$79="Muy Alta",'Mapa final'!$AD$79="Moderado"),CONCATENATE("R25C",'Mapa final'!$R$79),"")</f>
        <v/>
      </c>
      <c r="Q30" s="42" t="str">
        <f>IF(AND('Mapa final'!$AB$80="Muy Alta",'Mapa final'!$AD$80="Moderado"),CONCATENATE("R25C",'Mapa final'!$R$80),"")</f>
        <v/>
      </c>
      <c r="R30" s="106" t="str">
        <f>IF(AND('Mapa final'!$AB$81="Muy Alta",'Mapa final'!$AD$81="Moderado"),CONCATENATE("R25C",'Mapa final'!$R$81),"")</f>
        <v/>
      </c>
      <c r="S30" s="105" t="str">
        <f>IF(AND('Mapa final'!$AB$79="Muy Alta",'Mapa final'!$AD$79="Mayor"),CONCATENATE("R25C",'Mapa final'!$R$79),"")</f>
        <v/>
      </c>
      <c r="T30" s="42" t="str">
        <f>IF(AND('Mapa final'!$AB$80="Muy Alta",'Mapa final'!$AD$80="Mayor"),CONCATENATE("R25C",'Mapa final'!$R$80),"")</f>
        <v/>
      </c>
      <c r="U30" s="106" t="str">
        <f>IF(AND('Mapa final'!$AB$81="Muy Alta",'Mapa final'!$AD$81="Mayor"),CONCATENATE("R25C",'Mapa final'!$R$81),"")</f>
        <v/>
      </c>
      <c r="V30" s="43" t="str">
        <f>IF(AND('Mapa final'!$AB$79="Muy Alta",'Mapa final'!$AD$79="Catastrófico"),CONCATENATE("R25C",'Mapa final'!$R$79),"")</f>
        <v/>
      </c>
      <c r="W30" s="44" t="str">
        <f>IF(AND('Mapa final'!$AB$80="Muy Alta",'Mapa final'!$AD$80="Catastrófico"),CONCATENATE("R25C",'Mapa final'!$R$80),"")</f>
        <v/>
      </c>
      <c r="X30" s="100" t="str">
        <f>IF(AND('Mapa final'!$AB$81="Muy Alta",'Mapa final'!$AD$81="Catastrófico"),CONCATENATE("R25C",'Mapa final'!$R$81),"")</f>
        <v/>
      </c>
      <c r="Y30" s="56"/>
      <c r="Z30" s="294"/>
      <c r="AA30" s="295"/>
      <c r="AB30" s="295"/>
      <c r="AC30" s="295"/>
      <c r="AD30" s="295"/>
      <c r="AE30" s="29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row>
    <row r="31" spans="1:61" ht="15" customHeight="1" x14ac:dyDescent="0.35">
      <c r="A31" s="56"/>
      <c r="B31" s="300"/>
      <c r="C31" s="300"/>
      <c r="D31" s="301"/>
      <c r="E31" s="289"/>
      <c r="F31" s="290"/>
      <c r="G31" s="290"/>
      <c r="H31" s="290"/>
      <c r="I31" s="288"/>
      <c r="J31" s="105" t="str">
        <f>IF(AND('Mapa final'!$AB$82="Muy Alta",'Mapa final'!$AD$82="Leve"),CONCATENATE("R26C",'Mapa final'!$R$82),"")</f>
        <v/>
      </c>
      <c r="K31" s="42" t="str">
        <f>IF(AND('Mapa final'!$AB$83="Muy Alta",'Mapa final'!$AD$83="Leve"),CONCATENATE("R26C",'Mapa final'!$R$83),"")</f>
        <v/>
      </c>
      <c r="L31" s="106" t="str">
        <f>IF(AND('Mapa final'!$AB$84="Muy Alta",'Mapa final'!$AD$84="Leve"),CONCATENATE("R26C",'Mapa final'!$R$84),"")</f>
        <v/>
      </c>
      <c r="M31" s="105" t="str">
        <f>IF(AND('Mapa final'!$AB$82="Muy Alta",'Mapa final'!$AD$82="Menor"),CONCATENATE("R26C",'Mapa final'!$R$82),"")</f>
        <v/>
      </c>
      <c r="N31" s="42" t="str">
        <f>IF(AND('Mapa final'!$AB$83="Muy Alta",'Mapa final'!$AD$83="Menor"),CONCATENATE("R26C",'Mapa final'!$R$83),"")</f>
        <v/>
      </c>
      <c r="O31" s="106" t="str">
        <f>IF(AND('Mapa final'!$AB$84="Muy Alta",'Mapa final'!$AD$84="Menor"),CONCATENATE("R26C",'Mapa final'!$R$84),"")</f>
        <v/>
      </c>
      <c r="P31" s="105" t="str">
        <f>IF(AND('Mapa final'!$AB$82="Muy Alta",'Mapa final'!$AD$82="Moderado"),CONCATENATE("R26C",'Mapa final'!$R$82),"")</f>
        <v/>
      </c>
      <c r="Q31" s="42" t="str">
        <f>IF(AND('Mapa final'!$AB$83="Muy Alta",'Mapa final'!$AD$83="Moderado"),CONCATENATE("R26C",'Mapa final'!$R$83),"")</f>
        <v/>
      </c>
      <c r="R31" s="106" t="str">
        <f>IF(AND('Mapa final'!$AB$84="Muy Alta",'Mapa final'!$AD$84="Moderado"),CONCATENATE("R26C",'Mapa final'!$R$84),"")</f>
        <v/>
      </c>
      <c r="S31" s="105" t="str">
        <f>IF(AND('Mapa final'!$AB$82="Muy Alta",'Mapa final'!$AD$82="Mayor"),CONCATENATE("R26C",'Mapa final'!$R$82),"")</f>
        <v/>
      </c>
      <c r="T31" s="42" t="str">
        <f>IF(AND('Mapa final'!$AB$83="Muy Alta",'Mapa final'!$AD$83="Mayor"),CONCATENATE("R26C",'Mapa final'!$R$83),"")</f>
        <v/>
      </c>
      <c r="U31" s="106" t="str">
        <f>IF(AND('Mapa final'!$AB$84="Muy Alta",'Mapa final'!$AD$84="Mayor"),CONCATENATE("R26C",'Mapa final'!$R$84),"")</f>
        <v/>
      </c>
      <c r="V31" s="43" t="str">
        <f>IF(AND('Mapa final'!$AB$82="Muy Alta",'Mapa final'!$AD$82="Catastrófico"),CONCATENATE("R26C",'Mapa final'!$R$82),"")</f>
        <v/>
      </c>
      <c r="W31" s="44" t="str">
        <f>IF(AND('Mapa final'!$AB$83="Muy Alta",'Mapa final'!$AD$83="Catastrófico"),CONCATENATE("R26C",'Mapa final'!$R$83),"")</f>
        <v/>
      </c>
      <c r="X31" s="100" t="str">
        <f>IF(AND('Mapa final'!$AB$84="Muy Alta",'Mapa final'!$AD$84="Catastrófico"),CONCATENATE("R26C",'Mapa final'!$R$84),"")</f>
        <v/>
      </c>
      <c r="Y31" s="56"/>
      <c r="Z31" s="294"/>
      <c r="AA31" s="295"/>
      <c r="AB31" s="295"/>
      <c r="AC31" s="295"/>
      <c r="AD31" s="295"/>
      <c r="AE31" s="29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row>
    <row r="32" spans="1:61" ht="15" customHeight="1" x14ac:dyDescent="0.35">
      <c r="A32" s="56"/>
      <c r="B32" s="300"/>
      <c r="C32" s="300"/>
      <c r="D32" s="301"/>
      <c r="E32" s="289"/>
      <c r="F32" s="290"/>
      <c r="G32" s="290"/>
      <c r="H32" s="290"/>
      <c r="I32" s="288"/>
      <c r="J32" s="105" t="str">
        <f>IF(AND('Mapa final'!$AB$85="Muy Alta",'Mapa final'!$AD$85="Leve"),CONCATENATE("R27C",'Mapa final'!$R$85),"")</f>
        <v/>
      </c>
      <c r="K32" s="42" t="str">
        <f>IF(AND('Mapa final'!$AB$86="Muy Alta",'Mapa final'!$AD$86="Leve"),CONCATENATE("R27C",'Mapa final'!$R$86),"")</f>
        <v/>
      </c>
      <c r="L32" s="106" t="str">
        <f>IF(AND('Mapa final'!$AB$87="Muy Alta",'Mapa final'!$AD$87="Leve"),CONCATENATE("R27C",'Mapa final'!$R$87),"")</f>
        <v/>
      </c>
      <c r="M32" s="105" t="str">
        <f>IF(AND('Mapa final'!$AB$85="Muy Alta",'Mapa final'!$AD$85="Menor"),CONCATENATE("R27C",'Mapa final'!$R$85),"")</f>
        <v/>
      </c>
      <c r="N32" s="42" t="str">
        <f>IF(AND('Mapa final'!$AB$86="Muy Alta",'Mapa final'!$AD$86="Menor"),CONCATENATE("R27C",'Mapa final'!$R$86),"")</f>
        <v/>
      </c>
      <c r="O32" s="106" t="str">
        <f>IF(AND('Mapa final'!$AB$87="Muy Alta",'Mapa final'!$AD$87="Menor"),CONCATENATE("R27C",'Mapa final'!$R$87),"")</f>
        <v/>
      </c>
      <c r="P32" s="105" t="str">
        <f>IF(AND('Mapa final'!$AB$85="Muy Alta",'Mapa final'!$AD$85="Moderado"),CONCATENATE("R27C",'Mapa final'!$R$85),"")</f>
        <v/>
      </c>
      <c r="Q32" s="42" t="str">
        <f>IF(AND('Mapa final'!$AB$86="Muy Alta",'Mapa final'!$AD$86="Moderado"),CONCATENATE("R27C",'Mapa final'!$R$86),"")</f>
        <v/>
      </c>
      <c r="R32" s="106" t="str">
        <f>IF(AND('Mapa final'!$AB$87="Muy Alta",'Mapa final'!$AD$87="Moderado"),CONCATENATE("R27C",'Mapa final'!$R$87),"")</f>
        <v/>
      </c>
      <c r="S32" s="105" t="str">
        <f>IF(AND('Mapa final'!$AB$85="Muy Alta",'Mapa final'!$AD$85="Mayor"),CONCATENATE("R27C",'Mapa final'!$R$85),"")</f>
        <v/>
      </c>
      <c r="T32" s="42" t="str">
        <f>IF(AND('Mapa final'!$AB$86="Muy Alta",'Mapa final'!$AD$86="Mayor"),CONCATENATE("R27C",'Mapa final'!$R$86),"")</f>
        <v/>
      </c>
      <c r="U32" s="106" t="str">
        <f>IF(AND('Mapa final'!$AB$87="Muy Alta",'Mapa final'!$AD$87="Mayor"),CONCATENATE("R27C",'Mapa final'!$R$87),"")</f>
        <v/>
      </c>
      <c r="V32" s="43" t="str">
        <f>IF(AND('Mapa final'!$AB$85="Muy Alta",'Mapa final'!$AD$85="Catastrófico"),CONCATENATE("R27C",'Mapa final'!$R$85),"")</f>
        <v/>
      </c>
      <c r="W32" s="44" t="str">
        <f>IF(AND('Mapa final'!$AB$86="Muy Alta",'Mapa final'!$AD$86="Catastrófico"),CONCATENATE("R27C",'Mapa final'!$R$86),"")</f>
        <v/>
      </c>
      <c r="X32" s="100" t="str">
        <f>IF(AND('Mapa final'!$AB$87="Muy Alta",'Mapa final'!$AD$87="Catastrófico"),CONCATENATE("R27C",'Mapa final'!$R$87),"")</f>
        <v/>
      </c>
      <c r="Y32" s="56"/>
      <c r="Z32" s="294"/>
      <c r="AA32" s="295"/>
      <c r="AB32" s="295"/>
      <c r="AC32" s="295"/>
      <c r="AD32" s="295"/>
      <c r="AE32" s="29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row>
    <row r="33" spans="1:61" ht="15" customHeight="1" x14ac:dyDescent="0.35">
      <c r="A33" s="56"/>
      <c r="B33" s="300"/>
      <c r="C33" s="300"/>
      <c r="D33" s="301"/>
      <c r="E33" s="289"/>
      <c r="F33" s="290"/>
      <c r="G33" s="290"/>
      <c r="H33" s="290"/>
      <c r="I33" s="288"/>
      <c r="J33" s="105" t="str">
        <f>IF(AND('Mapa final'!$AB$88="Muy Alta",'Mapa final'!$AD$88="Leve"),CONCATENATE("R28C",'Mapa final'!$R$88),"")</f>
        <v/>
      </c>
      <c r="K33" s="42" t="str">
        <f>IF(AND('Mapa final'!$AB$89="Muy Alta",'Mapa final'!$AD$89="Leve"),CONCATENATE("R28C",'Mapa final'!$R$89),"")</f>
        <v/>
      </c>
      <c r="L33" s="106" t="str">
        <f>IF(AND('Mapa final'!$AB$90="Muy Alta",'Mapa final'!$AD$90="Leve"),CONCATENATE("R28C",'Mapa final'!$R$90),"")</f>
        <v/>
      </c>
      <c r="M33" s="105" t="str">
        <f>IF(AND('Mapa final'!$AB$88="Muy Alta",'Mapa final'!$AD$88="Menor"),CONCATENATE("R28C",'Mapa final'!$R$88),"")</f>
        <v/>
      </c>
      <c r="N33" s="42" t="str">
        <f>IF(AND('Mapa final'!$AB$89="Muy Alta",'Mapa final'!$AD$89="Menor"),CONCATENATE("R28C",'Mapa final'!$R$89),"")</f>
        <v/>
      </c>
      <c r="O33" s="106" t="str">
        <f>IF(AND('Mapa final'!$AB$90="Muy Alta",'Mapa final'!$AD$90="Menor"),CONCATENATE("R28C",'Mapa final'!$R$90),"")</f>
        <v/>
      </c>
      <c r="P33" s="105" t="str">
        <f>IF(AND('Mapa final'!$AB$88="Muy Alta",'Mapa final'!$AD$88="Moderado"),CONCATENATE("R28C",'Mapa final'!$R$88),"")</f>
        <v/>
      </c>
      <c r="Q33" s="42" t="str">
        <f>IF(AND('Mapa final'!$AB$89="Muy Alta",'Mapa final'!$AD$89="Moderado"),CONCATENATE("R28C",'Mapa final'!$R$89),"")</f>
        <v/>
      </c>
      <c r="R33" s="106" t="str">
        <f>IF(AND('Mapa final'!$AB$90="Muy Alta",'Mapa final'!$AD$90="Moderado"),CONCATENATE("R28C",'Mapa final'!$R$90),"")</f>
        <v/>
      </c>
      <c r="S33" s="105" t="str">
        <f>IF(AND('Mapa final'!$AB$88="Muy Alta",'Mapa final'!$AD$88="Mayor"),CONCATENATE("R28C",'Mapa final'!$R$88),"")</f>
        <v/>
      </c>
      <c r="T33" s="42" t="str">
        <f>IF(AND('Mapa final'!$AB$89="Muy Alta",'Mapa final'!$AD$89="Mayor"),CONCATENATE("R28C",'Mapa final'!$R$89),"")</f>
        <v/>
      </c>
      <c r="U33" s="106" t="str">
        <f>IF(AND('Mapa final'!$AB$90="Muy Alta",'Mapa final'!$AD$90="Mayor"),CONCATENATE("R28C",'Mapa final'!$R$90),"")</f>
        <v/>
      </c>
      <c r="V33" s="43" t="str">
        <f>IF(AND('Mapa final'!$AB$88="Muy Alta",'Mapa final'!$AD$88="Catastrófico"),CONCATENATE("R28C",'Mapa final'!$R$88),"")</f>
        <v/>
      </c>
      <c r="W33" s="44" t="str">
        <f>IF(AND('Mapa final'!$AB$89="Muy Alta",'Mapa final'!$AD$89="Catastrófico"),CONCATENATE("R28C",'Mapa final'!$R$89),"")</f>
        <v/>
      </c>
      <c r="X33" s="100" t="str">
        <f>IF(AND('Mapa final'!$AB$90="Muy Alta",'Mapa final'!$AD$90="Catastrófico"),CONCATENATE("R28C",'Mapa final'!$R$90),"")</f>
        <v/>
      </c>
      <c r="Y33" s="56"/>
      <c r="Z33" s="294"/>
      <c r="AA33" s="295"/>
      <c r="AB33" s="295"/>
      <c r="AC33" s="295"/>
      <c r="AD33" s="295"/>
      <c r="AE33" s="29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row>
    <row r="34" spans="1:61" ht="15" customHeight="1" x14ac:dyDescent="0.35">
      <c r="A34" s="56"/>
      <c r="B34" s="300"/>
      <c r="C34" s="300"/>
      <c r="D34" s="301"/>
      <c r="E34" s="289"/>
      <c r="F34" s="290"/>
      <c r="G34" s="290"/>
      <c r="H34" s="290"/>
      <c r="I34" s="288"/>
      <c r="J34" s="105" t="str">
        <f>IF(AND('Mapa final'!$AB$91="Muy Alta",'Mapa final'!$AD$91="Leve"),CONCATENATE("R29C",'Mapa final'!$R$91),"")</f>
        <v/>
      </c>
      <c r="K34" s="42" t="str">
        <f>IF(AND('Mapa final'!$AB$92="Muy Alta",'Mapa final'!$AD$92="Leve"),CONCATENATE("R29C",'Mapa final'!$R$92),"")</f>
        <v/>
      </c>
      <c r="L34" s="106" t="str">
        <f>IF(AND('Mapa final'!$AB$93="Muy Alta",'Mapa final'!$AD$93="Leve"),CONCATENATE("R29C",'Mapa final'!$R$93),"")</f>
        <v/>
      </c>
      <c r="M34" s="105" t="str">
        <f>IF(AND('Mapa final'!$AB$91="Muy Alta",'Mapa final'!$AD$91="Menor"),CONCATENATE("R29C",'Mapa final'!$R$91),"")</f>
        <v/>
      </c>
      <c r="N34" s="42" t="str">
        <f>IF(AND('Mapa final'!$AB$92="Muy Alta",'Mapa final'!$AD$92="Menor"),CONCATENATE("R29C",'Mapa final'!$R$92),"")</f>
        <v/>
      </c>
      <c r="O34" s="106" t="str">
        <f>IF(AND('Mapa final'!$AB$93="Muy Alta",'Mapa final'!$AD$93="Menor"),CONCATENATE("R29C",'Mapa final'!$R$93),"")</f>
        <v/>
      </c>
      <c r="P34" s="105" t="str">
        <f>IF(AND('Mapa final'!$AB$91="Muy Alta",'Mapa final'!$AD$91="Moderado"),CONCATENATE("R29C",'Mapa final'!$R$91),"")</f>
        <v/>
      </c>
      <c r="Q34" s="42" t="str">
        <f>IF(AND('Mapa final'!$AB$92="Muy Alta",'Mapa final'!$AD$92="Moderado"),CONCATENATE("R29C",'Mapa final'!$R$92),"")</f>
        <v/>
      </c>
      <c r="R34" s="106" t="str">
        <f>IF(AND('Mapa final'!$AB$93="Muy Alta",'Mapa final'!$AD$93="Moderado"),CONCATENATE("R29C",'Mapa final'!$R$93),"")</f>
        <v/>
      </c>
      <c r="S34" s="105" t="str">
        <f>IF(AND('Mapa final'!$AB$91="Muy Alta",'Mapa final'!$AD$91="Mayor"),CONCATENATE("R29C",'Mapa final'!$R$91),"")</f>
        <v/>
      </c>
      <c r="T34" s="42" t="str">
        <f>IF(AND('Mapa final'!$AB$92="Muy Alta",'Mapa final'!$AD$92="Mayor"),CONCATENATE("R29C",'Mapa final'!$R$92),"")</f>
        <v/>
      </c>
      <c r="U34" s="106" t="str">
        <f>IF(AND('Mapa final'!$AB$93="Muy Alta",'Mapa final'!$AD$93="Mayor"),CONCATENATE("R29C",'Mapa final'!$R$93),"")</f>
        <v/>
      </c>
      <c r="V34" s="43" t="str">
        <f>IF(AND('Mapa final'!$AB$91="Muy Alta",'Mapa final'!$AD$91="Catastrófico"),CONCATENATE("R29C",'Mapa final'!$R$91),"")</f>
        <v/>
      </c>
      <c r="W34" s="44" t="str">
        <f>IF(AND('Mapa final'!$AB$92="Muy Alta",'Mapa final'!$AD$92="Catastrófico"),CONCATENATE("R29C",'Mapa final'!$R$92),"")</f>
        <v/>
      </c>
      <c r="X34" s="100" t="str">
        <f>IF(AND('Mapa final'!$AB$93="Muy Alta",'Mapa final'!$AD$93="Catastrófico"),CONCATENATE("R29C",'Mapa final'!$R$93),"")</f>
        <v/>
      </c>
      <c r="Y34" s="56"/>
      <c r="Z34" s="294"/>
      <c r="AA34" s="295"/>
      <c r="AB34" s="295"/>
      <c r="AC34" s="295"/>
      <c r="AD34" s="295"/>
      <c r="AE34" s="29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row>
    <row r="35" spans="1:61" ht="15" customHeight="1" x14ac:dyDescent="0.35">
      <c r="A35" s="56"/>
      <c r="B35" s="300"/>
      <c r="C35" s="300"/>
      <c r="D35" s="301"/>
      <c r="E35" s="289"/>
      <c r="F35" s="290"/>
      <c r="G35" s="290"/>
      <c r="H35" s="290"/>
      <c r="I35" s="288"/>
      <c r="J35" s="105" t="str">
        <f>IF(AND('Mapa final'!$AB$94="Muy Alta",'Mapa final'!$AD$94="Leve"),CONCATENATE("R30C",'Mapa final'!$R$94),"")</f>
        <v/>
      </c>
      <c r="K35" s="42" t="str">
        <f>IF(AND('Mapa final'!$AB$95="Muy Alta",'Mapa final'!$AD$95="Leve"),CONCATENATE("R30C",'Mapa final'!$R$95),"")</f>
        <v/>
      </c>
      <c r="L35" s="106" t="str">
        <f>IF(AND('Mapa final'!$AB$96="Muy Alta",'Mapa final'!$AD$96="Leve"),CONCATENATE("R30C",'Mapa final'!$R$96),"")</f>
        <v/>
      </c>
      <c r="M35" s="105" t="str">
        <f>IF(AND('Mapa final'!$AB$94="Muy Alta",'Mapa final'!$AD$94="Menor"),CONCATENATE("R30C",'Mapa final'!$R$94),"")</f>
        <v/>
      </c>
      <c r="N35" s="42" t="str">
        <f>IF(AND('Mapa final'!$AB$95="Muy Alta",'Mapa final'!$AD$95="Menor"),CONCATENATE("R30C",'Mapa final'!$R$95),"")</f>
        <v/>
      </c>
      <c r="O35" s="106" t="str">
        <f>IF(AND('Mapa final'!$AB$96="Muy Alta",'Mapa final'!$AD$96="Menor"),CONCATENATE("R30C",'Mapa final'!$R$96),"")</f>
        <v/>
      </c>
      <c r="P35" s="105" t="str">
        <f>IF(AND('Mapa final'!$AB$94="Muy Alta",'Mapa final'!$AD$94="Moderado"),CONCATENATE("R30C",'Mapa final'!$R$94),"")</f>
        <v/>
      </c>
      <c r="Q35" s="42" t="str">
        <f>IF(AND('Mapa final'!$AB$95="Muy Alta",'Mapa final'!$AD$95="Moderado"),CONCATENATE("R30C",'Mapa final'!$R$95),"")</f>
        <v/>
      </c>
      <c r="R35" s="106" t="str">
        <f>IF(AND('Mapa final'!$AB$96="Muy Alta",'Mapa final'!$AD$96="Moderado"),CONCATENATE("R30C",'Mapa final'!$R$96),"")</f>
        <v/>
      </c>
      <c r="S35" s="105" t="str">
        <f>IF(AND('Mapa final'!$AB$94="Muy Alta",'Mapa final'!$AD$94="Mayor"),CONCATENATE("R30C",'Mapa final'!$R$94),"")</f>
        <v/>
      </c>
      <c r="T35" s="42" t="str">
        <f>IF(AND('Mapa final'!$AB$95="Muy Alta",'Mapa final'!$AD$95="Mayor"),CONCATENATE("R30C",'Mapa final'!$R$95),"")</f>
        <v/>
      </c>
      <c r="U35" s="106" t="str">
        <f>IF(AND('Mapa final'!$AB$96="Muy Alta",'Mapa final'!$AD$96="Mayor"),CONCATENATE("R30C",'Mapa final'!$R$96),"")</f>
        <v/>
      </c>
      <c r="V35" s="43" t="str">
        <f>IF(AND('Mapa final'!$AB$94="Muy Alta",'Mapa final'!$AD$94="Catastrófico"),CONCATENATE("R30C",'Mapa final'!$R$94),"")</f>
        <v/>
      </c>
      <c r="W35" s="44" t="str">
        <f>IF(AND('Mapa final'!$AB$95="Muy Alta",'Mapa final'!$AD$95="Catastrófico"),CONCATENATE("R30C",'Mapa final'!$R$95),"")</f>
        <v/>
      </c>
      <c r="X35" s="100" t="str">
        <f>IF(AND('Mapa final'!$AB$96="Muy Alta",'Mapa final'!$AD$96="Catastrófico"),CONCATENATE("R30C",'Mapa final'!$R$96),"")</f>
        <v/>
      </c>
      <c r="Y35" s="56"/>
      <c r="Z35" s="294"/>
      <c r="AA35" s="295"/>
      <c r="AB35" s="295"/>
      <c r="AC35" s="295"/>
      <c r="AD35" s="295"/>
      <c r="AE35" s="29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row>
    <row r="36" spans="1:61" ht="15" customHeight="1" x14ac:dyDescent="0.35">
      <c r="A36" s="56"/>
      <c r="B36" s="300"/>
      <c r="C36" s="300"/>
      <c r="D36" s="301"/>
      <c r="E36" s="289"/>
      <c r="F36" s="290"/>
      <c r="G36" s="290"/>
      <c r="H36" s="290"/>
      <c r="I36" s="288"/>
      <c r="J36" s="105" t="str">
        <f>IF(AND('Mapa final'!$AB$97="Muy Alta",'Mapa final'!$AD$97="Leve"),CONCATENATE("R31C",'Mapa final'!$R$97),"")</f>
        <v/>
      </c>
      <c r="K36" s="42" t="str">
        <f>IF(AND('Mapa final'!$AB$98="Muy Alta",'Mapa final'!$AD$98="Leve"),CONCATENATE("R31C",'Mapa final'!$R$98),"")</f>
        <v/>
      </c>
      <c r="L36" s="106" t="str">
        <f>IF(AND('Mapa final'!$AB$99="Muy Alta",'Mapa final'!$AD$99="Leve"),CONCATENATE("R31C",'Mapa final'!$R$99),"")</f>
        <v/>
      </c>
      <c r="M36" s="105" t="str">
        <f>IF(AND('Mapa final'!$AB$97="Muy Alta",'Mapa final'!$AD$97="Menor"),CONCATENATE("R31C",'Mapa final'!$R$97),"")</f>
        <v/>
      </c>
      <c r="N36" s="42" t="str">
        <f>IF(AND('Mapa final'!$AB$98="Muy Alta",'Mapa final'!$AD$98="Menor"),CONCATENATE("R31C",'Mapa final'!$R$98),"")</f>
        <v/>
      </c>
      <c r="O36" s="106" t="str">
        <f>IF(AND('Mapa final'!$AB$99="Muy Alta",'Mapa final'!$AD$99="Menor"),CONCATENATE("R31C",'Mapa final'!$R$99),"")</f>
        <v/>
      </c>
      <c r="P36" s="105" t="str">
        <f>IF(AND('Mapa final'!$AB$97="Muy Alta",'Mapa final'!$AD$97="Moderado"),CONCATENATE("R31C",'Mapa final'!$R$97),"")</f>
        <v/>
      </c>
      <c r="Q36" s="42" t="str">
        <f>IF(AND('Mapa final'!$AB$98="Muy Alta",'Mapa final'!$AD$98="Moderado"),CONCATENATE("R31C",'Mapa final'!$R$98),"")</f>
        <v/>
      </c>
      <c r="R36" s="106" t="str">
        <f>IF(AND('Mapa final'!$AB$99="Muy Alta",'Mapa final'!$AD$99="Moderado"),CONCATENATE("R31C",'Mapa final'!$R$99),"")</f>
        <v/>
      </c>
      <c r="S36" s="105" t="str">
        <f>IF(AND('Mapa final'!$AB$97="Muy Alta",'Mapa final'!$AD$97="Mayor"),CONCATENATE("R31C",'Mapa final'!$R$97),"")</f>
        <v/>
      </c>
      <c r="T36" s="42" t="str">
        <f>IF(AND('Mapa final'!$AB$98="Muy Alta",'Mapa final'!$AD$98="Mayor"),CONCATENATE("R31C",'Mapa final'!$R$98),"")</f>
        <v/>
      </c>
      <c r="U36" s="106" t="str">
        <f>IF(AND('Mapa final'!$AB$99="Muy Alta",'Mapa final'!$AD$99="Mayor"),CONCATENATE("R31C",'Mapa final'!$R$99),"")</f>
        <v/>
      </c>
      <c r="V36" s="43" t="str">
        <f>IF(AND('Mapa final'!$AB$97="Muy Alta",'Mapa final'!$AD$97="Catastrófico"),CONCATENATE("R31C",'Mapa final'!$R$97),"")</f>
        <v/>
      </c>
      <c r="W36" s="44" t="str">
        <f>IF(AND('Mapa final'!$AB$98="Muy Alta",'Mapa final'!$AD$98="Catastrófico"),CONCATENATE("R31C",'Mapa final'!$R$98),"")</f>
        <v/>
      </c>
      <c r="X36" s="100" t="str">
        <f>IF(AND('Mapa final'!$AB$99="Muy Alta",'Mapa final'!$AD$99="Catastrófico"),CONCATENATE("R31C",'Mapa final'!$R$99),"")</f>
        <v/>
      </c>
      <c r="Y36" s="56"/>
      <c r="Z36" s="294"/>
      <c r="AA36" s="295"/>
      <c r="AB36" s="295"/>
      <c r="AC36" s="295"/>
      <c r="AD36" s="295"/>
      <c r="AE36" s="29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row>
    <row r="37" spans="1:61" ht="15" customHeight="1" x14ac:dyDescent="0.35">
      <c r="A37" s="56"/>
      <c r="B37" s="300"/>
      <c r="C37" s="300"/>
      <c r="D37" s="301"/>
      <c r="E37" s="289"/>
      <c r="F37" s="290"/>
      <c r="G37" s="290"/>
      <c r="H37" s="290"/>
      <c r="I37" s="288"/>
      <c r="J37" s="105" t="e">
        <f>IF(AND('Mapa final'!#REF!="Muy Alta",'Mapa final'!#REF!="Leve"),CONCATENATE("R32C",'Mapa final'!#REF!),"")</f>
        <v>#REF!</v>
      </c>
      <c r="K37" s="42" t="e">
        <f>IF(AND('Mapa final'!#REF!="Muy Alta",'Mapa final'!#REF!="Leve"),CONCATENATE("R32C",'Mapa final'!#REF!),"")</f>
        <v>#REF!</v>
      </c>
      <c r="L37" s="42" t="e">
        <f>IF(AND('Mapa final'!#REF!="Muy Alta",'Mapa final'!#REF!="Leve"),CONCATENATE("R32C",'Mapa final'!#REF!),"")</f>
        <v>#REF!</v>
      </c>
      <c r="M37" s="105" t="e">
        <f>IF(AND('Mapa final'!#REF!="Muy Alta",'Mapa final'!#REF!="Menor"),CONCATENATE("R32C",'Mapa final'!#REF!),"")</f>
        <v>#REF!</v>
      </c>
      <c r="N37" s="42" t="e">
        <f>IF(AND('Mapa final'!#REF!="Muy Alta",'Mapa final'!#REF!="Menor"),CONCATENATE("R32C",'Mapa final'!#REF!),"")</f>
        <v>#REF!</v>
      </c>
      <c r="O37" s="42" t="e">
        <f>IF(AND('Mapa final'!#REF!="Muy Alta",'Mapa final'!#REF!="Menor"),CONCATENATE("R32C",'Mapa final'!#REF!),"")</f>
        <v>#REF!</v>
      </c>
      <c r="P37" s="105" t="e">
        <f>IF(AND('Mapa final'!#REF!="Muy Alta",'Mapa final'!#REF!="Moderado"),CONCATENATE("R32C",'Mapa final'!#REF!),"")</f>
        <v>#REF!</v>
      </c>
      <c r="Q37" s="42" t="e">
        <f>IF(AND('Mapa final'!#REF!="Muy Alta",'Mapa final'!#REF!="Moderado"),CONCATENATE("R32C",'Mapa final'!#REF!),"")</f>
        <v>#REF!</v>
      </c>
      <c r="R37" s="42" t="e">
        <f>IF(AND('Mapa final'!#REF!="Muy Alta",'Mapa final'!#REF!="Moderado"),CONCATENATE("R32C",'Mapa final'!#REF!),"")</f>
        <v>#REF!</v>
      </c>
      <c r="S37" s="105" t="e">
        <f>IF(AND('Mapa final'!#REF!="Muy Alta",'Mapa final'!#REF!="Mayor"),CONCATENATE("R32C",'Mapa final'!#REF!),"")</f>
        <v>#REF!</v>
      </c>
      <c r="T37" s="42" t="e">
        <f>IF(AND('Mapa final'!#REF!="Muy Alta",'Mapa final'!#REF!="Mayor"),CONCATENATE("R32C",'Mapa final'!#REF!),"")</f>
        <v>#REF!</v>
      </c>
      <c r="U37" s="106" t="e">
        <f>IF(AND('Mapa final'!#REF!="Muy Alta",'Mapa final'!#REF!="Mayor"),CONCATENATE("R32C",'Mapa final'!#REF!),"")</f>
        <v>#REF!</v>
      </c>
      <c r="V37" s="43" t="e">
        <f>IF(AND('Mapa final'!#REF!="Muy Alta",'Mapa final'!#REF!="Catastrófico"),CONCATENATE("R32C",'Mapa final'!#REF!),"")</f>
        <v>#REF!</v>
      </c>
      <c r="W37" s="44" t="e">
        <f>IF(AND('Mapa final'!#REF!="Muy Alta",'Mapa final'!#REF!="Catastrófico"),CONCATENATE("R32C",'Mapa final'!#REF!),"")</f>
        <v>#REF!</v>
      </c>
      <c r="X37" s="100" t="e">
        <f>IF(AND('Mapa final'!#REF!="Muy Alta",'Mapa final'!#REF!="Catastrófico"),CONCATENATE("R32C",'Mapa final'!#REF!),"")</f>
        <v>#REF!</v>
      </c>
      <c r="Y37" s="56"/>
      <c r="Z37" s="294"/>
      <c r="AA37" s="295"/>
      <c r="AB37" s="295"/>
      <c r="AC37" s="295"/>
      <c r="AD37" s="295"/>
      <c r="AE37" s="29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row>
    <row r="38" spans="1:61" ht="15" customHeight="1" x14ac:dyDescent="0.35">
      <c r="A38" s="56"/>
      <c r="B38" s="300"/>
      <c r="C38" s="300"/>
      <c r="D38" s="301"/>
      <c r="E38" s="289"/>
      <c r="F38" s="290"/>
      <c r="G38" s="290"/>
      <c r="H38" s="290"/>
      <c r="I38" s="288"/>
      <c r="J38" s="105" t="str">
        <f>IF(AND('Mapa final'!$AB$100="Muy Alta",'Mapa final'!$AD$100="Leve"),CONCATENATE("R33C",'Mapa final'!$R$100),"")</f>
        <v/>
      </c>
      <c r="K38" s="42" t="str">
        <f>IF(AND('Mapa final'!$AB$101="Muy Alta",'Mapa final'!$AD$101="Leve"),CONCATENATE("R33C",'Mapa final'!$R$101),"")</f>
        <v/>
      </c>
      <c r="L38" s="42" t="str">
        <f>IF(AND('Mapa final'!$AB$102="Muy Alta",'Mapa final'!$AD$102="Leve"),CONCATENATE("R33C",'Mapa final'!$R$102),"")</f>
        <v/>
      </c>
      <c r="M38" s="105" t="str">
        <f>IF(AND('Mapa final'!$AB$100="Muy Alta",'Mapa final'!$AD$100="Menor"),CONCATENATE("R33C",'Mapa final'!$R$100),"")</f>
        <v/>
      </c>
      <c r="N38" s="42" t="str">
        <f>IF(AND('Mapa final'!$AB$101="Muy Alta",'Mapa final'!$AD$101="Menor"),CONCATENATE("R33C",'Mapa final'!$R$101),"")</f>
        <v/>
      </c>
      <c r="O38" s="42" t="str">
        <f>IF(AND('Mapa final'!$AB$102="Muy Alta",'Mapa final'!$AD$102="Menor"),CONCATENATE("R33C",'Mapa final'!$R$102),"")</f>
        <v/>
      </c>
      <c r="P38" s="105" t="str">
        <f>IF(AND('Mapa final'!$AB$100="Muy Alta",'Mapa final'!$AD$100="Moderado"),CONCATENATE("R33C",'Mapa final'!$R$100),"")</f>
        <v/>
      </c>
      <c r="Q38" s="42" t="str">
        <f>IF(AND('Mapa final'!$AB$101="Muy Alta",'Mapa final'!$AD$101="Moderado"),CONCATENATE("R33C",'Mapa final'!$R$101),"")</f>
        <v/>
      </c>
      <c r="R38" s="42" t="str">
        <f>IF(AND('Mapa final'!$AB$102="Muy Alta",'Mapa final'!$AD$102="Moderado"),CONCATENATE("R33C",'Mapa final'!$R$102),"")</f>
        <v/>
      </c>
      <c r="S38" s="105" t="str">
        <f>IF(AND('Mapa final'!$AB$100="Muy Alta",'Mapa final'!$AD$100="Mayor"),CONCATENATE("R33C",'Mapa final'!$R$100),"")</f>
        <v/>
      </c>
      <c r="T38" s="42" t="str">
        <f>IF(AND('Mapa final'!$AB$101="Muy Alta",'Mapa final'!$AD$101="Mayor"),CONCATENATE("R33C",'Mapa final'!$R$101),"")</f>
        <v/>
      </c>
      <c r="U38" s="106" t="str">
        <f>IF(AND('Mapa final'!$AB$102="Muy Alta",'Mapa final'!$AD$102="Mayor"),CONCATENATE("R33C",'Mapa final'!$R$102),"")</f>
        <v/>
      </c>
      <c r="V38" s="43" t="str">
        <f>IF(AND('Mapa final'!$AB$100="Muy Alta",'Mapa final'!$AD$100="Catastrófico"),CONCATENATE("R33C",'Mapa final'!$R$100),"")</f>
        <v/>
      </c>
      <c r="W38" s="44" t="str">
        <f>IF(AND('Mapa final'!$AB$101="Muy Alta",'Mapa final'!$AD$101="Catastrófico"),CONCATENATE("R33C",'Mapa final'!$R$101),"")</f>
        <v/>
      </c>
      <c r="X38" s="100" t="str">
        <f>IF(AND('Mapa final'!$AB$102="Muy Alta",'Mapa final'!$AD$102="Catastrófico"),CONCATENATE("R33C",'Mapa final'!$R$102),"")</f>
        <v/>
      </c>
      <c r="Y38" s="56"/>
      <c r="Z38" s="294"/>
      <c r="AA38" s="295"/>
      <c r="AB38" s="295"/>
      <c r="AC38" s="295"/>
      <c r="AD38" s="295"/>
      <c r="AE38" s="29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row>
    <row r="39" spans="1:61" ht="15" customHeight="1" x14ac:dyDescent="0.35">
      <c r="A39" s="56"/>
      <c r="B39" s="300"/>
      <c r="C39" s="300"/>
      <c r="D39" s="301"/>
      <c r="E39" s="289"/>
      <c r="F39" s="290"/>
      <c r="G39" s="290"/>
      <c r="H39" s="290"/>
      <c r="I39" s="288"/>
      <c r="J39" s="105" t="str">
        <f>IF(AND('Mapa final'!$AB$103="Muy Alta",'Mapa final'!$AD$103="Leve"),CONCATENATE("R34C",'Mapa final'!$R$103),"")</f>
        <v/>
      </c>
      <c r="K39" s="42" t="str">
        <f>IF(AND('Mapa final'!$AB$104="Muy Alta",'Mapa final'!$AD$104="Leve"),CONCATENATE("R34C",'Mapa final'!$R$104),"")</f>
        <v/>
      </c>
      <c r="L39" s="106" t="str">
        <f>IF(AND('Mapa final'!$AB$105="Muy Alta",'Mapa final'!$AD$105="Leve"),CONCATENATE("R34C",'Mapa final'!$R$105),"")</f>
        <v/>
      </c>
      <c r="M39" s="105" t="str">
        <f>IF(AND('Mapa final'!$AB$103="Muy Alta",'Mapa final'!$AD$103="Menor"),CONCATENATE("R34C",'Mapa final'!$R$103),"")</f>
        <v/>
      </c>
      <c r="N39" s="42" t="str">
        <f>IF(AND('Mapa final'!$AB$104="Muy Alta",'Mapa final'!$AD$104="Menor"),CONCATENATE("R34C",'Mapa final'!$R$104),"")</f>
        <v/>
      </c>
      <c r="O39" s="106" t="str">
        <f>IF(AND('Mapa final'!$AB$105="Muy Alta",'Mapa final'!$AD$105="Menor"),CONCATENATE("R34C",'Mapa final'!$R$105),"")</f>
        <v/>
      </c>
      <c r="P39" s="105" t="str">
        <f>IF(AND('Mapa final'!$AB$103="Muy Alta",'Mapa final'!$AD$103="Moderado"),CONCATENATE("R34C",'Mapa final'!$R$103),"")</f>
        <v/>
      </c>
      <c r="Q39" s="42" t="str">
        <f>IF(AND('Mapa final'!$AB$104="Muy Alta",'Mapa final'!$AD$104="Moderado"),CONCATENATE("R34C",'Mapa final'!$R$104),"")</f>
        <v/>
      </c>
      <c r="R39" s="106" t="str">
        <f>IF(AND('Mapa final'!$AB$105="Muy Alta",'Mapa final'!$AD$105="Moderado"),CONCATENATE("R34C",'Mapa final'!$R$105),"")</f>
        <v/>
      </c>
      <c r="S39" s="105" t="str">
        <f>IF(AND('Mapa final'!$AB$103="Muy Alta",'Mapa final'!$AD$103="Mayor"),CONCATENATE("R34C",'Mapa final'!$R$103),"")</f>
        <v/>
      </c>
      <c r="T39" s="42" t="str">
        <f>IF(AND('Mapa final'!$AB$104="Muy Alta",'Mapa final'!$AD$104="Mayor"),CONCATENATE("R34C",'Mapa final'!$R$104),"")</f>
        <v/>
      </c>
      <c r="U39" s="106" t="str">
        <f>IF(AND('Mapa final'!$AB$105="Muy Alta",'Mapa final'!$AD$105="Mayor"),CONCATENATE("R34C",'Mapa final'!$R$105),"")</f>
        <v/>
      </c>
      <c r="V39" s="43" t="str">
        <f>IF(AND('Mapa final'!$AB$103="Muy Alta",'Mapa final'!$AD$103="Catastrófico"),CONCATENATE("R34C",'Mapa final'!$R$103),"")</f>
        <v/>
      </c>
      <c r="W39" s="44" t="str">
        <f>IF(AND('Mapa final'!$AB$104="Muy Alta",'Mapa final'!$AD$104="Catastrófico"),CONCATENATE("R34C",'Mapa final'!$R$104),"")</f>
        <v/>
      </c>
      <c r="X39" s="100" t="str">
        <f>IF(AND('Mapa final'!$AB$105="Muy Alta",'Mapa final'!$AD$105="Catastrófico"),CONCATENATE("R34C",'Mapa final'!$R$105),"")</f>
        <v/>
      </c>
      <c r="Y39" s="56"/>
      <c r="Z39" s="294"/>
      <c r="AA39" s="295"/>
      <c r="AB39" s="295"/>
      <c r="AC39" s="295"/>
      <c r="AD39" s="295"/>
      <c r="AE39" s="29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row>
    <row r="40" spans="1:61" ht="15" customHeight="1" x14ac:dyDescent="0.35">
      <c r="A40" s="56"/>
      <c r="B40" s="300"/>
      <c r="C40" s="300"/>
      <c r="D40" s="301"/>
      <c r="E40" s="289"/>
      <c r="F40" s="290"/>
      <c r="G40" s="290"/>
      <c r="H40" s="290"/>
      <c r="I40" s="288"/>
      <c r="J40" s="105" t="str">
        <f>IF(AND('Mapa final'!$AB$106="Muy Alta",'Mapa final'!$AD$106="Leve"),CONCATENATE("R35C",'Mapa final'!$R$106),"")</f>
        <v/>
      </c>
      <c r="K40" s="42" t="str">
        <f>IF(AND('Mapa final'!$AB$107="Muy Alta",'Mapa final'!$AD$107="Leve"),CONCATENATE("R35C",'Mapa final'!$R$107),"")</f>
        <v/>
      </c>
      <c r="L40" s="106" t="str">
        <f>IF(AND('Mapa final'!$AB$108="Muy Alta",'Mapa final'!$AD$108="Leve"),CONCATENATE("R35C",'Mapa final'!$R$108),"")</f>
        <v/>
      </c>
      <c r="M40" s="105" t="str">
        <f>IF(AND('Mapa final'!$AB$106="Muy Alta",'Mapa final'!$AD$106="Menor"),CONCATENATE("R35C",'Mapa final'!$R$106),"")</f>
        <v/>
      </c>
      <c r="N40" s="42" t="str">
        <f>IF(AND('Mapa final'!$AB$107="Muy Alta",'Mapa final'!$AD$107="Menor"),CONCATENATE("R35C",'Mapa final'!$R$107),"")</f>
        <v/>
      </c>
      <c r="O40" s="106" t="str">
        <f>IF(AND('Mapa final'!$AB$108="Muy Alta",'Mapa final'!$AD$108="Menor"),CONCATENATE("R35C",'Mapa final'!$R$108),"")</f>
        <v/>
      </c>
      <c r="P40" s="105" t="str">
        <f>IF(AND('Mapa final'!$AB$106="Muy Alta",'Mapa final'!$AD$106="Moderado"),CONCATENATE("R35C",'Mapa final'!$R$106),"")</f>
        <v/>
      </c>
      <c r="Q40" s="42" t="str">
        <f>IF(AND('Mapa final'!$AB$107="Muy Alta",'Mapa final'!$AD$107="Moderado"),CONCATENATE("R35C",'Mapa final'!$R$107),"")</f>
        <v/>
      </c>
      <c r="R40" s="106" t="str">
        <f>IF(AND('Mapa final'!$AB$108="Muy Alta",'Mapa final'!$AD$108="Moderado"),CONCATENATE("R35C",'Mapa final'!$R$108),"")</f>
        <v/>
      </c>
      <c r="S40" s="105" t="str">
        <f>IF(AND('Mapa final'!$AB$106="Muy Alta",'Mapa final'!$AD$106="Mayor"),CONCATENATE("R35C",'Mapa final'!$R$106),"")</f>
        <v/>
      </c>
      <c r="T40" s="42" t="str">
        <f>IF(AND('Mapa final'!$AB$107="Muy Alta",'Mapa final'!$AD$107="Mayor"),CONCATENATE("R35C",'Mapa final'!$R$107),"")</f>
        <v/>
      </c>
      <c r="U40" s="106" t="str">
        <f>IF(AND('Mapa final'!$AB$108="Muy Alta",'Mapa final'!$AD$108="Mayor"),CONCATENATE("R35C",'Mapa final'!$R$108),"")</f>
        <v/>
      </c>
      <c r="V40" s="43" t="str">
        <f>IF(AND('Mapa final'!$AB$106="Muy Alta",'Mapa final'!$AD$106="Catastrófico"),CONCATENATE("R35C",'Mapa final'!$R$106),"")</f>
        <v/>
      </c>
      <c r="W40" s="44" t="str">
        <f>IF(AND('Mapa final'!$AB$107="Muy Alta",'Mapa final'!$AD$107="Catastrófico"),CONCATENATE("R35C",'Mapa final'!$R$107),"")</f>
        <v/>
      </c>
      <c r="X40" s="100" t="str">
        <f>IF(AND('Mapa final'!$AB$108="Muy Alta",'Mapa final'!$AD$108="Catastrófico"),CONCATENATE("R35C",'Mapa final'!$R$108),"")</f>
        <v/>
      </c>
      <c r="Y40" s="56"/>
      <c r="Z40" s="294"/>
      <c r="AA40" s="295"/>
      <c r="AB40" s="295"/>
      <c r="AC40" s="295"/>
      <c r="AD40" s="295"/>
      <c r="AE40" s="29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row>
    <row r="41" spans="1:61" ht="15" customHeight="1" x14ac:dyDescent="0.35">
      <c r="A41" s="56"/>
      <c r="B41" s="300"/>
      <c r="C41" s="300"/>
      <c r="D41" s="301"/>
      <c r="E41" s="289"/>
      <c r="F41" s="290"/>
      <c r="G41" s="290"/>
      <c r="H41" s="290"/>
      <c r="I41" s="288"/>
      <c r="J41" s="105" t="str">
        <f>IF(AND('Mapa final'!$AB$109="Muy Alta",'Mapa final'!$AD$109="Leve"),CONCATENATE("R36C",'Mapa final'!$R$109),"")</f>
        <v/>
      </c>
      <c r="K41" s="42" t="str">
        <f>IF(AND('Mapa final'!$AB$110="Muy Alta",'Mapa final'!$AD$110="Leve"),CONCATENATE("R36C",'Mapa final'!$R$110),"")</f>
        <v/>
      </c>
      <c r="L41" s="106" t="str">
        <f>IF(AND('Mapa final'!$AB$111="Muy Alta",'Mapa final'!$AD$111="Leve"),CONCATENATE("R36C",'Mapa final'!$R$111),"")</f>
        <v/>
      </c>
      <c r="M41" s="105" t="str">
        <f>IF(AND('Mapa final'!$AB$109="Muy Alta",'Mapa final'!$AD$109="Menor"),CONCATENATE("R36C",'Mapa final'!$R$109),"")</f>
        <v/>
      </c>
      <c r="N41" s="42" t="str">
        <f>IF(AND('Mapa final'!$AB$110="Muy Alta",'Mapa final'!$AD$110="Menor"),CONCATENATE("R36C",'Mapa final'!$R$110),"")</f>
        <v/>
      </c>
      <c r="O41" s="106" t="str">
        <f>IF(AND('Mapa final'!$AB$111="Muy Alta",'Mapa final'!$AD$111="Menor"),CONCATENATE("R36C",'Mapa final'!$R$111),"")</f>
        <v/>
      </c>
      <c r="P41" s="105" t="str">
        <f>IF(AND('Mapa final'!$AB$109="Muy Alta",'Mapa final'!$AD$109="Moderado"),CONCATENATE("R36C",'Mapa final'!$R$109),"")</f>
        <v/>
      </c>
      <c r="Q41" s="42" t="str">
        <f>IF(AND('Mapa final'!$AB$110="Muy Alta",'Mapa final'!$AD$110="Moderado"),CONCATENATE("R36C",'Mapa final'!$R$110),"")</f>
        <v/>
      </c>
      <c r="R41" s="106" t="str">
        <f>IF(AND('Mapa final'!$AB$111="Muy Alta",'Mapa final'!$AD$111="Moderado"),CONCATENATE("R36C",'Mapa final'!$R$111),"")</f>
        <v/>
      </c>
      <c r="S41" s="105" t="str">
        <f>IF(AND('Mapa final'!$AB$109="Muy Alta",'Mapa final'!$AD$109="Mayor"),CONCATENATE("R36C",'Mapa final'!$R$109),"")</f>
        <v/>
      </c>
      <c r="T41" s="42" t="str">
        <f>IF(AND('Mapa final'!$AB$110="Muy Alta",'Mapa final'!$AD$110="Mayor"),CONCATENATE("R36C",'Mapa final'!$R$110),"")</f>
        <v/>
      </c>
      <c r="U41" s="106" t="str">
        <f>IF(AND('Mapa final'!$AB$111="Muy Alta",'Mapa final'!$AD$111="Mayor"),CONCATENATE("R36C",'Mapa final'!$R$111),"")</f>
        <v/>
      </c>
      <c r="V41" s="43" t="str">
        <f>IF(AND('Mapa final'!$AB$109="Muy Alta",'Mapa final'!$AD$109="Catastrófico"),CONCATENATE("R36C",'Mapa final'!$R$109),"")</f>
        <v/>
      </c>
      <c r="W41" s="44" t="str">
        <f>IF(AND('Mapa final'!$AB$110="Muy Alta",'Mapa final'!$AD$110="Catastrófico"),CONCATENATE("R36C",'Mapa final'!$R$110),"")</f>
        <v/>
      </c>
      <c r="X41" s="100" t="str">
        <f>IF(AND('Mapa final'!$AB$111="Muy Alta",'Mapa final'!$AD$111="Catastrófico"),CONCATENATE("R36C",'Mapa final'!$R$111),"")</f>
        <v/>
      </c>
      <c r="Y41" s="56"/>
      <c r="Z41" s="294"/>
      <c r="AA41" s="295"/>
      <c r="AB41" s="295"/>
      <c r="AC41" s="295"/>
      <c r="AD41" s="295"/>
      <c r="AE41" s="29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row>
    <row r="42" spans="1:61" ht="15" customHeight="1" x14ac:dyDescent="0.35">
      <c r="A42" s="56"/>
      <c r="B42" s="300"/>
      <c r="C42" s="300"/>
      <c r="D42" s="301"/>
      <c r="E42" s="289"/>
      <c r="F42" s="290"/>
      <c r="G42" s="290"/>
      <c r="H42" s="290"/>
      <c r="I42" s="288"/>
      <c r="J42" s="105" t="str">
        <f>IF(AND('Mapa final'!$AB$112="Muy Alta",'Mapa final'!$AD$112="Leve"),CONCATENATE("R37C",'Mapa final'!$R$112),"")</f>
        <v/>
      </c>
      <c r="K42" s="42" t="str">
        <f>IF(AND('Mapa final'!$AB$113="Muy Alta",'Mapa final'!$AD$113="Leve"),CONCATENATE("R37C",'Mapa final'!$R$113),"")</f>
        <v/>
      </c>
      <c r="L42" s="106" t="str">
        <f>IF(AND('Mapa final'!$AB$114="Muy Alta",'Mapa final'!$AD$114="Leve"),CONCATENATE("R37C",'Mapa final'!$R$114),"")</f>
        <v/>
      </c>
      <c r="M42" s="105" t="str">
        <f>IF(AND('Mapa final'!$AB$112="Muy Alta",'Mapa final'!$AD$112="Menor"),CONCATENATE("R37C",'Mapa final'!$R$112),"")</f>
        <v/>
      </c>
      <c r="N42" s="42" t="str">
        <f>IF(AND('Mapa final'!$AB$113="Muy Alta",'Mapa final'!$AD$113="Menor"),CONCATENATE("R37C",'Mapa final'!$R$113),"")</f>
        <v/>
      </c>
      <c r="O42" s="106" t="str">
        <f>IF(AND('Mapa final'!$AB$114="Muy Alta",'Mapa final'!$AD$114="Menor"),CONCATENATE("R37C",'Mapa final'!$R$114),"")</f>
        <v/>
      </c>
      <c r="P42" s="105" t="str">
        <f>IF(AND('Mapa final'!$AB$112="Muy Alta",'Mapa final'!$AD$112="Moderado"),CONCATENATE("R37C",'Mapa final'!$R$112),"")</f>
        <v/>
      </c>
      <c r="Q42" s="42" t="str">
        <f>IF(AND('Mapa final'!$AB$113="Muy Alta",'Mapa final'!$AD$113="Moderado"),CONCATENATE("R37C",'Mapa final'!$R$113),"")</f>
        <v/>
      </c>
      <c r="R42" s="106" t="str">
        <f>IF(AND('Mapa final'!$AB$114="Muy Alta",'Mapa final'!$AD$114="Moderado"),CONCATENATE("R37C",'Mapa final'!$R$114),"")</f>
        <v/>
      </c>
      <c r="S42" s="105" t="str">
        <f>IF(AND('Mapa final'!$AB$112="Muy Alta",'Mapa final'!$AD$112="Mayor"),CONCATENATE("R37C",'Mapa final'!$R$112),"")</f>
        <v/>
      </c>
      <c r="T42" s="42" t="str">
        <f>IF(AND('Mapa final'!$AB$113="Muy Alta",'Mapa final'!$AD$113="Mayor"),CONCATENATE("R37C",'Mapa final'!$R$113),"")</f>
        <v/>
      </c>
      <c r="U42" s="106" t="str">
        <f>IF(AND('Mapa final'!$AB$114="Muy Alta",'Mapa final'!$AD$114="Mayor"),CONCATENATE("R37C",'Mapa final'!$R$114),"")</f>
        <v/>
      </c>
      <c r="V42" s="43" t="str">
        <f>IF(AND('Mapa final'!$AB$112="Muy Alta",'Mapa final'!$AD$112="Catastrófico"),CONCATENATE("R37C",'Mapa final'!$R$112),"")</f>
        <v/>
      </c>
      <c r="W42" s="44" t="str">
        <f>IF(AND('Mapa final'!$AB$113="Muy Alta",'Mapa final'!$AD$113="Catastrófico"),CONCATENATE("R37C",'Mapa final'!$R$113),"")</f>
        <v/>
      </c>
      <c r="X42" s="100" t="str">
        <f>IF(AND('Mapa final'!$AB$114="Muy Alta",'Mapa final'!$AD$114="Catastrófico"),CONCATENATE("R37C",'Mapa final'!$R$114),"")</f>
        <v/>
      </c>
      <c r="Y42" s="56"/>
      <c r="Z42" s="294"/>
      <c r="AA42" s="295"/>
      <c r="AB42" s="295"/>
      <c r="AC42" s="295"/>
      <c r="AD42" s="295"/>
      <c r="AE42" s="29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row>
    <row r="43" spans="1:61" ht="15" customHeight="1" x14ac:dyDescent="0.35">
      <c r="A43" s="56"/>
      <c r="B43" s="300"/>
      <c r="C43" s="300"/>
      <c r="D43" s="301"/>
      <c r="E43" s="289"/>
      <c r="F43" s="290"/>
      <c r="G43" s="290"/>
      <c r="H43" s="290"/>
      <c r="I43" s="288"/>
      <c r="J43" s="105" t="str">
        <f>IF(AND('Mapa final'!$AB$115="Muy Alta",'Mapa final'!$AD$115="Leve"),CONCATENATE("R38C",'Mapa final'!$R$115),"")</f>
        <v/>
      </c>
      <c r="K43" s="42" t="str">
        <f>IF(AND('Mapa final'!$AB$116="Muy Alta",'Mapa final'!$AD$116="Leve"),CONCATENATE("R38C",'Mapa final'!$R$116),"")</f>
        <v/>
      </c>
      <c r="L43" s="106" t="str">
        <f>IF(AND('Mapa final'!$AB$117="Muy Alta",'Mapa final'!$AD$117="Leve"),CONCATENATE("R38C",'Mapa final'!$R$117),"")</f>
        <v/>
      </c>
      <c r="M43" s="105" t="str">
        <f>IF(AND('Mapa final'!$AB$115="Muy Alta",'Mapa final'!$AD$115="Menor"),CONCATENATE("R38C",'Mapa final'!$R$115),"")</f>
        <v/>
      </c>
      <c r="N43" s="42" t="str">
        <f>IF(AND('Mapa final'!$AB$116="Muy Alta",'Mapa final'!$AD$116="Menor"),CONCATENATE("R38C",'Mapa final'!$R$116),"")</f>
        <v/>
      </c>
      <c r="O43" s="106" t="str">
        <f>IF(AND('Mapa final'!$AB$117="Muy Alta",'Mapa final'!$AD$117="Menor"),CONCATENATE("R38C",'Mapa final'!$R$117),"")</f>
        <v/>
      </c>
      <c r="P43" s="105" t="str">
        <f>IF(AND('Mapa final'!$AB$115="Muy Alta",'Mapa final'!$AD$115="Moderado"),CONCATENATE("R38C",'Mapa final'!$R$115),"")</f>
        <v/>
      </c>
      <c r="Q43" s="42" t="str">
        <f>IF(AND('Mapa final'!$AB$116="Muy Alta",'Mapa final'!$AD$116="Moderado"),CONCATENATE("R38C",'Mapa final'!$R$116),"")</f>
        <v/>
      </c>
      <c r="R43" s="106" t="str">
        <f>IF(AND('Mapa final'!$AB$117="Muy Alta",'Mapa final'!$AD$117="Moderado"),CONCATENATE("R38C",'Mapa final'!$R$117),"")</f>
        <v/>
      </c>
      <c r="S43" s="105" t="str">
        <f>IF(AND('Mapa final'!$AB$115="Muy Alta",'Mapa final'!$AD$115="Mayor"),CONCATENATE("R38C",'Mapa final'!$R$115),"")</f>
        <v/>
      </c>
      <c r="T43" s="42" t="str">
        <f>IF(AND('Mapa final'!$AB$116="Muy Alta",'Mapa final'!$AD$116="Mayor"),CONCATENATE("R38C",'Mapa final'!$R$116),"")</f>
        <v/>
      </c>
      <c r="U43" s="106" t="str">
        <f>IF(AND('Mapa final'!$AB$117="Muy Alta",'Mapa final'!$AD$117="Mayor"),CONCATENATE("R38C",'Mapa final'!$R$117),"")</f>
        <v/>
      </c>
      <c r="V43" s="43" t="str">
        <f>IF(AND('Mapa final'!$AB$115="Muy Alta",'Mapa final'!$AD$115="Catastrófico"),CONCATENATE("R38C",'Mapa final'!$R$115),"")</f>
        <v/>
      </c>
      <c r="W43" s="44" t="str">
        <f>IF(AND('Mapa final'!$AB$116="Muy Alta",'Mapa final'!$AD$116="Catastrófico"),CONCATENATE("R38C",'Mapa final'!$R$116),"")</f>
        <v/>
      </c>
      <c r="X43" s="100" t="str">
        <f>IF(AND('Mapa final'!$AB$117="Muy Alta",'Mapa final'!$AD$117="Catastrófico"),CONCATENATE("R38C",'Mapa final'!$R$117),"")</f>
        <v/>
      </c>
      <c r="Y43" s="56"/>
      <c r="Z43" s="294"/>
      <c r="AA43" s="295"/>
      <c r="AB43" s="295"/>
      <c r="AC43" s="295"/>
      <c r="AD43" s="295"/>
      <c r="AE43" s="29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row>
    <row r="44" spans="1:61" ht="15" customHeight="1" x14ac:dyDescent="0.35">
      <c r="A44" s="56"/>
      <c r="B44" s="300"/>
      <c r="C44" s="300"/>
      <c r="D44" s="301"/>
      <c r="E44" s="289"/>
      <c r="F44" s="290"/>
      <c r="G44" s="290"/>
      <c r="H44" s="290"/>
      <c r="I44" s="288"/>
      <c r="J44" s="105" t="str">
        <f>IF(AND('Mapa final'!$AB$118="Muy Alta",'Mapa final'!$AD$118="Leve"),CONCATENATE("R39C",'Mapa final'!$R$118),"")</f>
        <v/>
      </c>
      <c r="K44" s="42" t="str">
        <f>IF(AND('Mapa final'!$AB$119="Muy Alta",'Mapa final'!$AD$119="Leve"),CONCATENATE("R39C",'Mapa final'!$R$119),"")</f>
        <v/>
      </c>
      <c r="L44" s="106" t="str">
        <f>IF(AND('Mapa final'!$AB$120="Muy Alta",'Mapa final'!$AD$120="Leve"),CONCATENATE("R39C",'Mapa final'!$R$120),"")</f>
        <v/>
      </c>
      <c r="M44" s="105" t="str">
        <f>IF(AND('Mapa final'!$AB$118="Muy Alta",'Mapa final'!$AD$118="Menor"),CONCATENATE("R39C",'Mapa final'!$R$118),"")</f>
        <v/>
      </c>
      <c r="N44" s="42" t="str">
        <f>IF(AND('Mapa final'!$AB$119="Muy Alta",'Mapa final'!$AD$119="Menor"),CONCATENATE("R39C",'Mapa final'!$R$119),"")</f>
        <v/>
      </c>
      <c r="O44" s="106" t="str">
        <f>IF(AND('Mapa final'!$AB$120="Muy Alta",'Mapa final'!$AD$120="Menor"),CONCATENATE("R39C",'Mapa final'!$R$120),"")</f>
        <v/>
      </c>
      <c r="P44" s="105" t="str">
        <f>IF(AND('Mapa final'!$AB$118="Muy Alta",'Mapa final'!$AD$118="Moderado"),CONCATENATE("R39C",'Mapa final'!$R$118),"")</f>
        <v/>
      </c>
      <c r="Q44" s="42" t="str">
        <f>IF(AND('Mapa final'!$AB$119="Muy Alta",'Mapa final'!$AD$119="Moderado"),CONCATENATE("R39C",'Mapa final'!$R$119),"")</f>
        <v/>
      </c>
      <c r="R44" s="106" t="str">
        <f>IF(AND('Mapa final'!$AB$120="Muy Alta",'Mapa final'!$AD$120="Moderado"),CONCATENATE("R39C",'Mapa final'!$R$120),"")</f>
        <v/>
      </c>
      <c r="S44" s="105" t="str">
        <f>IF(AND('Mapa final'!$AB$118="Muy Alta",'Mapa final'!$AD$118="Mayor"),CONCATENATE("R39C",'Mapa final'!$R$118),"")</f>
        <v/>
      </c>
      <c r="T44" s="42" t="str">
        <f>IF(AND('Mapa final'!$AB$119="Muy Alta",'Mapa final'!$AD$119="Mayor"),CONCATENATE("R39C",'Mapa final'!$R$119),"")</f>
        <v/>
      </c>
      <c r="U44" s="106" t="str">
        <f>IF(AND('Mapa final'!$AB$120="Muy Alta",'Mapa final'!$AD$120="Mayor"),CONCATENATE("R39C",'Mapa final'!$R$120),"")</f>
        <v/>
      </c>
      <c r="V44" s="43" t="str">
        <f>IF(AND('Mapa final'!$AB$118="Muy Alta",'Mapa final'!$AD$118="Catastrófico"),CONCATENATE("R39C",'Mapa final'!$R$118),"")</f>
        <v/>
      </c>
      <c r="W44" s="44" t="str">
        <f>IF(AND('Mapa final'!$AB$119="Muy Alta",'Mapa final'!$AD$119="Catastrófico"),CONCATENATE("R39C",'Mapa final'!$R$119),"")</f>
        <v/>
      </c>
      <c r="X44" s="100" t="str">
        <f>IF(AND('Mapa final'!$AB$120="Muy Alta",'Mapa final'!$AD$120="Catastrófico"),CONCATENATE("R39C",'Mapa final'!$R$120),"")</f>
        <v/>
      </c>
      <c r="Y44" s="56"/>
      <c r="Z44" s="294"/>
      <c r="AA44" s="295"/>
      <c r="AB44" s="295"/>
      <c r="AC44" s="295"/>
      <c r="AD44" s="295"/>
      <c r="AE44" s="29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row>
    <row r="45" spans="1:61" ht="15" customHeight="1" x14ac:dyDescent="0.35">
      <c r="A45" s="56"/>
      <c r="B45" s="300"/>
      <c r="C45" s="300"/>
      <c r="D45" s="301"/>
      <c r="E45" s="289"/>
      <c r="F45" s="290"/>
      <c r="G45" s="290"/>
      <c r="H45" s="290"/>
      <c r="I45" s="288"/>
      <c r="J45" s="105" t="str">
        <f>IF(AND('Mapa final'!$AB$121="Muy Alta",'Mapa final'!$AD$121="Leve"),CONCATENATE("R40C",'Mapa final'!$R$121),"")</f>
        <v/>
      </c>
      <c r="K45" s="42" t="str">
        <f>IF(AND('Mapa final'!$AB$122="Muy Alta",'Mapa final'!$AD$122="Leve"),CONCATENATE("R40C",'Mapa final'!$R$122),"")</f>
        <v/>
      </c>
      <c r="L45" s="106" t="str">
        <f>IF(AND('Mapa final'!$AB$123="Muy Alta",'Mapa final'!$AD$123="Leve"),CONCATENATE("R40C",'Mapa final'!$R$123),"")</f>
        <v/>
      </c>
      <c r="M45" s="105" t="str">
        <f>IF(AND('Mapa final'!$AB$121="Muy Alta",'Mapa final'!$AD$121="Menor"),CONCATENATE("R40C",'Mapa final'!$R$121),"")</f>
        <v/>
      </c>
      <c r="N45" s="42" t="str">
        <f>IF(AND('Mapa final'!$AB$122="Muy Alta",'Mapa final'!$AD$122="Menor"),CONCATENATE("R40C",'Mapa final'!$R$122),"")</f>
        <v/>
      </c>
      <c r="O45" s="106" t="str">
        <f>IF(AND('Mapa final'!$AB$123="Muy Alta",'Mapa final'!$AD$123="Menor"),CONCATENATE("R40C",'Mapa final'!$R$123),"")</f>
        <v/>
      </c>
      <c r="P45" s="105" t="str">
        <f>IF(AND('Mapa final'!$AB$121="Muy Alta",'Mapa final'!$AD$121="Moderado"),CONCATENATE("R40C",'Mapa final'!$R$121),"")</f>
        <v/>
      </c>
      <c r="Q45" s="42" t="str">
        <f>IF(AND('Mapa final'!$AB$122="Muy Alta",'Mapa final'!$AD$122="Moderado"),CONCATENATE("R40C",'Mapa final'!$R$122),"")</f>
        <v/>
      </c>
      <c r="R45" s="106" t="str">
        <f>IF(AND('Mapa final'!$AB$123="Muy Alta",'Mapa final'!$AD$123="Moderado"),CONCATENATE("R40C",'Mapa final'!$R$123),"")</f>
        <v/>
      </c>
      <c r="S45" s="105" t="str">
        <f>IF(AND('Mapa final'!$AB$121="Muy Alta",'Mapa final'!$AD$121="Mayor"),CONCATENATE("R40C",'Mapa final'!$R$121),"")</f>
        <v/>
      </c>
      <c r="T45" s="42" t="str">
        <f>IF(AND('Mapa final'!$AB$122="Muy Alta",'Mapa final'!$AD$122="Mayor"),CONCATENATE("R40C",'Mapa final'!$R$122),"")</f>
        <v/>
      </c>
      <c r="U45" s="106" t="str">
        <f>IF(AND('Mapa final'!$AB$123="Muy Alta",'Mapa final'!$AD$123="Mayor"),CONCATENATE("R40C",'Mapa final'!$R$123),"")</f>
        <v/>
      </c>
      <c r="V45" s="43" t="str">
        <f>IF(AND('Mapa final'!$AB$121="Muy Alta",'Mapa final'!$AD$121="Catastrófico"),CONCATENATE("R40C",'Mapa final'!$R$121),"")</f>
        <v/>
      </c>
      <c r="W45" s="44" t="str">
        <f>IF(AND('Mapa final'!$AB$122="Muy Alta",'Mapa final'!$AD$122="Catastrófico"),CONCATENATE("R40C",'Mapa final'!$R$122),"")</f>
        <v/>
      </c>
      <c r="X45" s="100" t="str">
        <f>IF(AND('Mapa final'!$AB$123="Muy Alta",'Mapa final'!$AD$123="Catastrófico"),CONCATENATE("R40C",'Mapa final'!$R$123),"")</f>
        <v/>
      </c>
      <c r="Y45" s="56"/>
      <c r="Z45" s="294"/>
      <c r="AA45" s="295"/>
      <c r="AB45" s="295"/>
      <c r="AC45" s="295"/>
      <c r="AD45" s="295"/>
      <c r="AE45" s="29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row>
    <row r="46" spans="1:61" ht="15" customHeight="1" x14ac:dyDescent="0.35">
      <c r="A46" s="56"/>
      <c r="B46" s="300"/>
      <c r="C46" s="300"/>
      <c r="D46" s="301"/>
      <c r="E46" s="289"/>
      <c r="F46" s="290"/>
      <c r="G46" s="290"/>
      <c r="H46" s="290"/>
      <c r="I46" s="288"/>
      <c r="J46" s="105" t="str">
        <f>IF(AND('Mapa final'!$AB$124="Muy Alta",'Mapa final'!$AD$124="Leve"),CONCATENATE("R41C",'Mapa final'!$R$124),"")</f>
        <v/>
      </c>
      <c r="K46" s="42" t="str">
        <f>IF(AND('Mapa final'!$AB$125="Muy Alta",'Mapa final'!$AD$125="Leve"),CONCATENATE("R41C",'Mapa final'!$R$125),"")</f>
        <v/>
      </c>
      <c r="L46" s="106" t="str">
        <f>IF(AND('Mapa final'!$AB$126="Muy Alta",'Mapa final'!$AD$126="Leve"),CONCATENATE("R41C",'Mapa final'!$R$126),"")</f>
        <v/>
      </c>
      <c r="M46" s="105" t="str">
        <f>IF(AND('Mapa final'!$AB$124="Muy Alta",'Mapa final'!$AD$124="Menor"),CONCATENATE("R41C",'Mapa final'!$R$124),"")</f>
        <v/>
      </c>
      <c r="N46" s="42" t="str">
        <f>IF(AND('Mapa final'!$AB$125="Muy Alta",'Mapa final'!$AD$125="Menor"),CONCATENATE("R41C",'Mapa final'!$R$125),"")</f>
        <v/>
      </c>
      <c r="O46" s="106" t="str">
        <f>IF(AND('Mapa final'!$AB$126="Muy Alta",'Mapa final'!$AD$126="Menor"),CONCATENATE("R41C",'Mapa final'!$R$126),"")</f>
        <v/>
      </c>
      <c r="P46" s="105" t="str">
        <f>IF(AND('Mapa final'!$AB$124="Muy Alta",'Mapa final'!$AD$124="Moderado"),CONCATENATE("R41C",'Mapa final'!$R$124),"")</f>
        <v/>
      </c>
      <c r="Q46" s="42" t="str">
        <f>IF(AND('Mapa final'!$AB$125="Muy Alta",'Mapa final'!$AD$125="Moderado"),CONCATENATE("R41C",'Mapa final'!$R$125),"")</f>
        <v/>
      </c>
      <c r="R46" s="106" t="str">
        <f>IF(AND('Mapa final'!$AB$126="Muy Alta",'Mapa final'!$AD$126="Moderado"),CONCATENATE("R41C",'Mapa final'!$R$126),"")</f>
        <v/>
      </c>
      <c r="S46" s="105" t="str">
        <f>IF(AND('Mapa final'!$AB$124="Muy Alta",'Mapa final'!$AD$124="Mayor"),CONCATENATE("R41C",'Mapa final'!$R$124),"")</f>
        <v/>
      </c>
      <c r="T46" s="42" t="str">
        <f>IF(AND('Mapa final'!$AB$125="Muy Alta",'Mapa final'!$AD$125="Mayor"),CONCATENATE("R41C",'Mapa final'!$R$125),"")</f>
        <v/>
      </c>
      <c r="U46" s="106" t="str">
        <f>IF(AND('Mapa final'!$AB$126="Muy Alta",'Mapa final'!$AD$126="Mayor"),CONCATENATE("R41C",'Mapa final'!$R$126),"")</f>
        <v/>
      </c>
      <c r="V46" s="43" t="str">
        <f>IF(AND('Mapa final'!$AB$124="Muy Alta",'Mapa final'!$AD$124="Catastrófico"),CONCATENATE("R41C",'Mapa final'!$R$124),"")</f>
        <v/>
      </c>
      <c r="W46" s="44" t="str">
        <f>IF(AND('Mapa final'!$AB$125="Muy Alta",'Mapa final'!$AD$125="Catastrófico"),CONCATENATE("R41C",'Mapa final'!$R$125),"")</f>
        <v/>
      </c>
      <c r="X46" s="100" t="str">
        <f>IF(AND('Mapa final'!$AB$126="Muy Alta",'Mapa final'!$AD$126="Catastrófico"),CONCATENATE("R41C",'Mapa final'!$R$126),"")</f>
        <v/>
      </c>
      <c r="Y46" s="56"/>
      <c r="Z46" s="294"/>
      <c r="AA46" s="295"/>
      <c r="AB46" s="295"/>
      <c r="AC46" s="295"/>
      <c r="AD46" s="295"/>
      <c r="AE46" s="29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row>
    <row r="47" spans="1:61" ht="15" customHeight="1" x14ac:dyDescent="0.35">
      <c r="A47" s="56"/>
      <c r="B47" s="300"/>
      <c r="C47" s="300"/>
      <c r="D47" s="301"/>
      <c r="E47" s="289"/>
      <c r="F47" s="290"/>
      <c r="G47" s="290"/>
      <c r="H47" s="290"/>
      <c r="I47" s="288"/>
      <c r="J47" s="105" t="str">
        <f>IF(AND('Mapa final'!$AB$127="Muy Alta",'Mapa final'!$AD$127="Leve"),CONCATENATE("R42C",'Mapa final'!$R$127),"")</f>
        <v/>
      </c>
      <c r="K47" s="42" t="str">
        <f>IF(AND('Mapa final'!$AB$128="Muy Alta",'Mapa final'!$AD$128="Leve"),CONCATENATE("R42C",'Mapa final'!$R$128),"")</f>
        <v/>
      </c>
      <c r="L47" s="106" t="str">
        <f>IF(AND('Mapa final'!$AB$129="Muy Alta",'Mapa final'!$AD$129="Leve"),CONCATENATE("R42C",'Mapa final'!$R$129),"")</f>
        <v/>
      </c>
      <c r="M47" s="105" t="str">
        <f>IF(AND('Mapa final'!$AB$127="Muy Alta",'Mapa final'!$AD$127="Menor"),CONCATENATE("R42C",'Mapa final'!$R$127),"")</f>
        <v/>
      </c>
      <c r="N47" s="42" t="str">
        <f>IF(AND('Mapa final'!$AB$128="Muy Alta",'Mapa final'!$AD$128="Menor"),CONCATENATE("R42C",'Mapa final'!$R$128),"")</f>
        <v/>
      </c>
      <c r="O47" s="106" t="str">
        <f>IF(AND('Mapa final'!$AB$129="Muy Alta",'Mapa final'!$AD$129="Menor"),CONCATENATE("R42C",'Mapa final'!$R$129),"")</f>
        <v/>
      </c>
      <c r="P47" s="105" t="str">
        <f>IF(AND('Mapa final'!$AB$127="Muy Alta",'Mapa final'!$AD$127="Moderado"),CONCATENATE("R42C",'Mapa final'!$R$127),"")</f>
        <v/>
      </c>
      <c r="Q47" s="42" t="str">
        <f>IF(AND('Mapa final'!$AB$128="Muy Alta",'Mapa final'!$AD$128="Moderado"),CONCATENATE("R42C",'Mapa final'!$R$128),"")</f>
        <v/>
      </c>
      <c r="R47" s="106" t="str">
        <f>IF(AND('Mapa final'!$AB$129="Muy Alta",'Mapa final'!$AD$129="Moderado"),CONCATENATE("R42C",'Mapa final'!$R$129),"")</f>
        <v/>
      </c>
      <c r="S47" s="105" t="str">
        <f>IF(AND('Mapa final'!$AB$127="Muy Alta",'Mapa final'!$AD$127="Mayor"),CONCATENATE("R42C",'Mapa final'!$R$127),"")</f>
        <v/>
      </c>
      <c r="T47" s="42" t="str">
        <f>IF(AND('Mapa final'!$AB$128="Muy Alta",'Mapa final'!$AD$128="Mayor"),CONCATENATE("R42C",'Mapa final'!$R$128),"")</f>
        <v/>
      </c>
      <c r="U47" s="106" t="str">
        <f>IF(AND('Mapa final'!$AB$129="Muy Alta",'Mapa final'!$AD$129="Mayor"),CONCATENATE("R42C",'Mapa final'!$R$129),"")</f>
        <v/>
      </c>
      <c r="V47" s="43" t="str">
        <f>IF(AND('Mapa final'!$AB$127="Muy Alta",'Mapa final'!$AD$127="Catastrófico"),CONCATENATE("R42C",'Mapa final'!$R$127),"")</f>
        <v/>
      </c>
      <c r="W47" s="44" t="str">
        <f>IF(AND('Mapa final'!$AB$128="Muy Alta",'Mapa final'!$AD$128="Catastrófico"),CONCATENATE("R42C",'Mapa final'!$R$128),"")</f>
        <v/>
      </c>
      <c r="X47" s="100" t="str">
        <f>IF(AND('Mapa final'!$AB$129="Muy Alta",'Mapa final'!$AD$129="Catastrófico"),CONCATENATE("R42C",'Mapa final'!$R$129),"")</f>
        <v/>
      </c>
      <c r="Y47" s="56"/>
      <c r="Z47" s="294"/>
      <c r="AA47" s="295"/>
      <c r="AB47" s="295"/>
      <c r="AC47" s="295"/>
      <c r="AD47" s="295"/>
      <c r="AE47" s="29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row>
    <row r="48" spans="1:61" ht="15" customHeight="1" x14ac:dyDescent="0.35">
      <c r="A48" s="56"/>
      <c r="B48" s="300"/>
      <c r="C48" s="300"/>
      <c r="D48" s="301"/>
      <c r="E48" s="289"/>
      <c r="F48" s="290"/>
      <c r="G48" s="290"/>
      <c r="H48" s="290"/>
      <c r="I48" s="288"/>
      <c r="J48" s="105" t="str">
        <f>IF(AND('Mapa final'!$AB$130="Muy Alta",'Mapa final'!$AD$130="Leve"),CONCATENATE("R43C",'Mapa final'!$R$130),"")</f>
        <v/>
      </c>
      <c r="K48" s="42" t="str">
        <f>IF(AND('Mapa final'!$AB$131="Muy Alta",'Mapa final'!$AD$131="Leve"),CONCATENATE("R43C",'Mapa final'!$R$131),"")</f>
        <v/>
      </c>
      <c r="L48" s="106" t="str">
        <f>IF(AND('Mapa final'!$AB$132="Muy Alta",'Mapa final'!$AD$132="Leve"),CONCATENATE("R43C",'Mapa final'!$R$132),"")</f>
        <v/>
      </c>
      <c r="M48" s="105" t="str">
        <f>IF(AND('Mapa final'!$AB$130="Muy Alta",'Mapa final'!$AD$130="Menor"),CONCATENATE("R43C",'Mapa final'!$R$130),"")</f>
        <v/>
      </c>
      <c r="N48" s="42" t="str">
        <f>IF(AND('Mapa final'!$AB$131="Muy Alta",'Mapa final'!$AD$131="Menor"),CONCATENATE("R43C",'Mapa final'!$R$131),"")</f>
        <v/>
      </c>
      <c r="O48" s="106" t="str">
        <f>IF(AND('Mapa final'!$AB$132="Muy Alta",'Mapa final'!$AD$132="Menor"),CONCATENATE("R43C",'Mapa final'!$R$132),"")</f>
        <v/>
      </c>
      <c r="P48" s="105" t="str">
        <f>IF(AND('Mapa final'!$AB$130="Muy Alta",'Mapa final'!$AD$130="Moderado"),CONCATENATE("R43C",'Mapa final'!$R$130),"")</f>
        <v/>
      </c>
      <c r="Q48" s="42" t="str">
        <f>IF(AND('Mapa final'!$AB$131="Muy Alta",'Mapa final'!$AD$131="Moderado"),CONCATENATE("R43C",'Mapa final'!$R$131),"")</f>
        <v/>
      </c>
      <c r="R48" s="106" t="str">
        <f>IF(AND('Mapa final'!$AB$132="Muy Alta",'Mapa final'!$AD$132="Moderado"),CONCATENATE("R43C",'Mapa final'!$R$132),"")</f>
        <v/>
      </c>
      <c r="S48" s="105" t="str">
        <f>IF(AND('Mapa final'!$AB$130="Muy Alta",'Mapa final'!$AD$130="Mayor"),CONCATENATE("R43C",'Mapa final'!$R$130),"")</f>
        <v/>
      </c>
      <c r="T48" s="42" t="str">
        <f>IF(AND('Mapa final'!$AB$131="Muy Alta",'Mapa final'!$AD$131="Mayor"),CONCATENATE("R43C",'Mapa final'!$R$131),"")</f>
        <v/>
      </c>
      <c r="U48" s="106" t="str">
        <f>IF(AND('Mapa final'!$AB$132="Muy Alta",'Mapa final'!$AD$132="Mayor"),CONCATENATE("R43C",'Mapa final'!$R$132),"")</f>
        <v/>
      </c>
      <c r="V48" s="43" t="str">
        <f>IF(AND('Mapa final'!$AB$130="Muy Alta",'Mapa final'!$AD$130="Catastrófico"),CONCATENATE("R43C",'Mapa final'!$R$130),"")</f>
        <v/>
      </c>
      <c r="W48" s="44" t="str">
        <f>IF(AND('Mapa final'!$AB$131="Muy Alta",'Mapa final'!$AD$131="Catastrófico"),CONCATENATE("R43C",'Mapa final'!$R$131),"")</f>
        <v/>
      </c>
      <c r="X48" s="100" t="str">
        <f>IF(AND('Mapa final'!$AB$132="Muy Alta",'Mapa final'!$AD$132="Catastrófico"),CONCATENATE("R43C",'Mapa final'!$R$132),"")</f>
        <v/>
      </c>
      <c r="Y48" s="56"/>
      <c r="Z48" s="294"/>
      <c r="AA48" s="295"/>
      <c r="AB48" s="295"/>
      <c r="AC48" s="295"/>
      <c r="AD48" s="295"/>
      <c r="AE48" s="29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row>
    <row r="49" spans="1:61" ht="15" customHeight="1" x14ac:dyDescent="0.35">
      <c r="A49" s="56"/>
      <c r="B49" s="300"/>
      <c r="C49" s="300"/>
      <c r="D49" s="301"/>
      <c r="E49" s="289"/>
      <c r="F49" s="290"/>
      <c r="G49" s="290"/>
      <c r="H49" s="290"/>
      <c r="I49" s="288"/>
      <c r="J49" s="105" t="str">
        <f>IF(AND('Mapa final'!$AB$133="Muy Alta",'Mapa final'!$AD$133="Leve"),CONCATENATE("R44C",'Mapa final'!$R$133),"")</f>
        <v/>
      </c>
      <c r="K49" s="42" t="str">
        <f>IF(AND('Mapa final'!$AB$134="Muy Alta",'Mapa final'!$AD$134="Leve"),CONCATENATE("R44C",'Mapa final'!$R$134),"")</f>
        <v/>
      </c>
      <c r="L49" s="106" t="str">
        <f>IF(AND('Mapa final'!$AB$135="Muy Alta",'Mapa final'!$AD$135="Leve"),CONCATENATE("R44C",'Mapa final'!$R$135),"")</f>
        <v/>
      </c>
      <c r="M49" s="105" t="str">
        <f>IF(AND('Mapa final'!$AB$133="Muy Alta",'Mapa final'!$AD$133="Menor"),CONCATENATE("R44C",'Mapa final'!$R$133),"")</f>
        <v/>
      </c>
      <c r="N49" s="42" t="str">
        <f>IF(AND('Mapa final'!$AB$134="Muy Alta",'Mapa final'!$AD$134="Menor"),CONCATENATE("R44C",'Mapa final'!$R$134),"")</f>
        <v/>
      </c>
      <c r="O49" s="106" t="str">
        <f>IF(AND('Mapa final'!$AB$135="Muy Alta",'Mapa final'!$AD$135="Menor"),CONCATENATE("R44C",'Mapa final'!$R$135),"")</f>
        <v/>
      </c>
      <c r="P49" s="105" t="str">
        <f>IF(AND('Mapa final'!$AB$133="Muy Alta",'Mapa final'!$AD$133="Moderado"),CONCATENATE("R44C",'Mapa final'!$R$133),"")</f>
        <v/>
      </c>
      <c r="Q49" s="42" t="str">
        <f>IF(AND('Mapa final'!$AB$134="Muy Alta",'Mapa final'!$AD$134="Moderado"),CONCATENATE("R44C",'Mapa final'!$R$134),"")</f>
        <v/>
      </c>
      <c r="R49" s="106" t="str">
        <f>IF(AND('Mapa final'!$AB$135="Muy Alta",'Mapa final'!$AD$135="Moderado"),CONCATENATE("R44C",'Mapa final'!$R$135),"")</f>
        <v/>
      </c>
      <c r="S49" s="105" t="str">
        <f>IF(AND('Mapa final'!$AB$133="Muy Alta",'Mapa final'!$AD$133="Mayor"),CONCATENATE("R44C",'Mapa final'!$R$133),"")</f>
        <v/>
      </c>
      <c r="T49" s="42" t="str">
        <f>IF(AND('Mapa final'!$AB$134="Muy Alta",'Mapa final'!$AD$134="Mayor"),CONCATENATE("R44C",'Mapa final'!$R$134),"")</f>
        <v/>
      </c>
      <c r="U49" s="106" t="str">
        <f>IF(AND('Mapa final'!$AB$135="Muy Alta",'Mapa final'!$AD$135="Mayor"),CONCATENATE("R44C",'Mapa final'!$R$135),"")</f>
        <v/>
      </c>
      <c r="V49" s="43" t="str">
        <f>IF(AND('Mapa final'!$AB$133="Muy Alta",'Mapa final'!$AD$133="Catastrófico"),CONCATENATE("R44C",'Mapa final'!$R$133),"")</f>
        <v/>
      </c>
      <c r="W49" s="44" t="str">
        <f>IF(AND('Mapa final'!$AB$134="Muy Alta",'Mapa final'!$AD$134="Catastrófico"),CONCATENATE("R44C",'Mapa final'!$R$134),"")</f>
        <v/>
      </c>
      <c r="X49" s="100" t="str">
        <f>IF(AND('Mapa final'!$AB$135="Muy Alta",'Mapa final'!$AD$135="Catastrófico"),CONCATENATE("R44C",'Mapa final'!$R$135),"")</f>
        <v/>
      </c>
      <c r="Y49" s="56"/>
      <c r="Z49" s="294"/>
      <c r="AA49" s="295"/>
      <c r="AB49" s="295"/>
      <c r="AC49" s="295"/>
      <c r="AD49" s="295"/>
      <c r="AE49" s="29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row>
    <row r="50" spans="1:61" ht="15" customHeight="1" x14ac:dyDescent="0.35">
      <c r="A50" s="56"/>
      <c r="B50" s="300"/>
      <c r="C50" s="300"/>
      <c r="D50" s="301"/>
      <c r="E50" s="289"/>
      <c r="F50" s="290"/>
      <c r="G50" s="290"/>
      <c r="H50" s="290"/>
      <c r="I50" s="288"/>
      <c r="J50" s="105" t="str">
        <f>IF(AND('Mapa final'!$AB$136="Muy Alta",'Mapa final'!$AD$136="Leve"),CONCATENATE("R45C",'Mapa final'!$R$136),"")</f>
        <v/>
      </c>
      <c r="K50" s="42" t="str">
        <f>IF(AND('Mapa final'!$AB$137="Muy Alta",'Mapa final'!$AD$137="Leve"),CONCATENATE("R45C",'Mapa final'!$R$137),"")</f>
        <v/>
      </c>
      <c r="L50" s="106" t="str">
        <f>IF(AND('Mapa final'!$AB$138="Muy Alta",'Mapa final'!$AD$138="Leve"),CONCATENATE("R45C",'Mapa final'!$R$138),"")</f>
        <v/>
      </c>
      <c r="M50" s="105" t="str">
        <f>IF(AND('Mapa final'!$AB$136="Muy Alta",'Mapa final'!$AD$136="Menor"),CONCATENATE("R45C",'Mapa final'!$R$136),"")</f>
        <v/>
      </c>
      <c r="N50" s="42" t="str">
        <f>IF(AND('Mapa final'!$AB$137="Muy Alta",'Mapa final'!$AD$137="Menor"),CONCATENATE("R45C",'Mapa final'!$R$137),"")</f>
        <v/>
      </c>
      <c r="O50" s="106" t="str">
        <f>IF(AND('Mapa final'!$AB$138="Muy Alta",'Mapa final'!$AD$138="Menor"),CONCATENATE("R45C",'Mapa final'!$R$138),"")</f>
        <v/>
      </c>
      <c r="P50" s="105" t="str">
        <f>IF(AND('Mapa final'!$AB$136="Muy Alta",'Mapa final'!$AD$136="Moderado"),CONCATENATE("R45C",'Mapa final'!$R$136),"")</f>
        <v/>
      </c>
      <c r="Q50" s="42" t="str">
        <f>IF(AND('Mapa final'!$AB$137="Muy Alta",'Mapa final'!$AD$137="Moderado"),CONCATENATE("R45C",'Mapa final'!$R$137),"")</f>
        <v/>
      </c>
      <c r="R50" s="106" t="str">
        <f>IF(AND('Mapa final'!$AB$138="Muy Alta",'Mapa final'!$AD$138="Moderado"),CONCATENATE("R45C",'Mapa final'!$R$138),"")</f>
        <v/>
      </c>
      <c r="S50" s="105" t="str">
        <f>IF(AND('Mapa final'!$AB$136="Muy Alta",'Mapa final'!$AD$136="Mayor"),CONCATENATE("R45C",'Mapa final'!$R$136),"")</f>
        <v/>
      </c>
      <c r="T50" s="42" t="str">
        <f>IF(AND('Mapa final'!$AB$137="Muy Alta",'Mapa final'!$AD$137="Mayor"),CONCATENATE("R45C",'Mapa final'!$R$137),"")</f>
        <v/>
      </c>
      <c r="U50" s="106" t="str">
        <f>IF(AND('Mapa final'!$AB$138="Muy Alta",'Mapa final'!$AD$138="Mayor"),CONCATENATE("R45C",'Mapa final'!$R$138),"")</f>
        <v/>
      </c>
      <c r="V50" s="43" t="str">
        <f>IF(AND('Mapa final'!$AB$136="Muy Alta",'Mapa final'!$AD$136="Catastrófico"),CONCATENATE("R45C",'Mapa final'!$R$136),"")</f>
        <v/>
      </c>
      <c r="W50" s="44" t="str">
        <f>IF(AND('Mapa final'!$AB$137="Muy Alta",'Mapa final'!$AD$137="Catastrófico"),CONCATENATE("R45C",'Mapa final'!$R$137),"")</f>
        <v/>
      </c>
      <c r="X50" s="100" t="str">
        <f>IF(AND('Mapa final'!$AB$138="Muy Alta",'Mapa final'!$AD$138="Catastrófico"),CONCATENATE("R45C",'Mapa final'!$R$138),"")</f>
        <v/>
      </c>
      <c r="Y50" s="56"/>
      <c r="Z50" s="294"/>
      <c r="AA50" s="295"/>
      <c r="AB50" s="295"/>
      <c r="AC50" s="295"/>
      <c r="AD50" s="295"/>
      <c r="AE50" s="29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row>
    <row r="51" spans="1:61" ht="15" customHeight="1" x14ac:dyDescent="0.35">
      <c r="A51" s="56"/>
      <c r="B51" s="300"/>
      <c r="C51" s="300"/>
      <c r="D51" s="301"/>
      <c r="E51" s="289"/>
      <c r="F51" s="290"/>
      <c r="G51" s="290"/>
      <c r="H51" s="290"/>
      <c r="I51" s="288"/>
      <c r="J51" s="105" t="str">
        <f>IF(AND('Mapa final'!$AB$139="Muy Alta",'Mapa final'!$AD$139="Leve"),CONCATENATE("R46C",'Mapa final'!$R$139),"")</f>
        <v/>
      </c>
      <c r="K51" s="42" t="str">
        <f>IF(AND('Mapa final'!$AB$140="Muy Alta",'Mapa final'!$AD$140="Leve"),CONCATENATE("R46C",'Mapa final'!$R$140),"")</f>
        <v/>
      </c>
      <c r="L51" s="106" t="str">
        <f>IF(AND('Mapa final'!$AB$141="Muy Alta",'Mapa final'!$AD$141="Leve"),CONCATENATE("R46C",'Mapa final'!$R$141),"")</f>
        <v/>
      </c>
      <c r="M51" s="105" t="str">
        <f>IF(AND('Mapa final'!$AB$139="Muy Alta",'Mapa final'!$AD$139="Menor"),CONCATENATE("R46C",'Mapa final'!$R$139),"")</f>
        <v/>
      </c>
      <c r="N51" s="42" t="str">
        <f>IF(AND('Mapa final'!$AB$140="Muy Alta",'Mapa final'!$AD$140="Menor"),CONCATENATE("R46C",'Mapa final'!$R$140),"")</f>
        <v/>
      </c>
      <c r="O51" s="106" t="str">
        <f>IF(AND('Mapa final'!$AB$141="Muy Alta",'Mapa final'!$AD$141="Menor"),CONCATENATE("R46C",'Mapa final'!$R$141),"")</f>
        <v/>
      </c>
      <c r="P51" s="105" t="str">
        <f>IF(AND('Mapa final'!$AB$139="Muy Alta",'Mapa final'!$AD$139="Moderado"),CONCATENATE("R46C",'Mapa final'!$R$139),"")</f>
        <v/>
      </c>
      <c r="Q51" s="42" t="str">
        <f>IF(AND('Mapa final'!$AB$140="Muy Alta",'Mapa final'!$AD$140="Moderado"),CONCATENATE("R46C",'Mapa final'!$R$140),"")</f>
        <v/>
      </c>
      <c r="R51" s="106" t="str">
        <f>IF(AND('Mapa final'!$AB$141="Muy Alta",'Mapa final'!$AD$141="Moderado"),CONCATENATE("R46C",'Mapa final'!$R$141),"")</f>
        <v/>
      </c>
      <c r="S51" s="105" t="str">
        <f>IF(AND('Mapa final'!$AB$139="Muy Alta",'Mapa final'!$AD$139="Mayor"),CONCATENATE("R46C",'Mapa final'!$R$139),"")</f>
        <v/>
      </c>
      <c r="T51" s="42" t="str">
        <f>IF(AND('Mapa final'!$AB$140="Muy Alta",'Mapa final'!$AD$140="Mayor"),CONCATENATE("R46C",'Mapa final'!$R$140),"")</f>
        <v/>
      </c>
      <c r="U51" s="106" t="str">
        <f>IF(AND('Mapa final'!$AB$141="Muy Alta",'Mapa final'!$AD$141="Mayor"),CONCATENATE("R46C",'Mapa final'!$R$141),"")</f>
        <v/>
      </c>
      <c r="V51" s="43" t="str">
        <f>IF(AND('Mapa final'!$AB$139="Muy Alta",'Mapa final'!$AD$139="Catastrófico"),CONCATENATE("R46C",'Mapa final'!$R$139),"")</f>
        <v/>
      </c>
      <c r="W51" s="44" t="str">
        <f>IF(AND('Mapa final'!$AB$140="Muy Alta",'Mapa final'!$AD$140="Catastrófico"),CONCATENATE("R46C",'Mapa final'!$R$140),"")</f>
        <v/>
      </c>
      <c r="X51" s="100" t="str">
        <f>IF(AND('Mapa final'!$AB$141="Muy Alta",'Mapa final'!$AD$141="Catastrófico"),CONCATENATE("R46C",'Mapa final'!$R$141),"")</f>
        <v/>
      </c>
      <c r="Y51" s="56"/>
      <c r="Z51" s="294"/>
      <c r="AA51" s="295"/>
      <c r="AB51" s="295"/>
      <c r="AC51" s="295"/>
      <c r="AD51" s="295"/>
      <c r="AE51" s="29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row>
    <row r="52" spans="1:61" ht="15" customHeight="1" x14ac:dyDescent="0.35">
      <c r="A52" s="56"/>
      <c r="B52" s="300"/>
      <c r="C52" s="300"/>
      <c r="D52" s="301"/>
      <c r="E52" s="289"/>
      <c r="F52" s="290"/>
      <c r="G52" s="290"/>
      <c r="H52" s="290"/>
      <c r="I52" s="288"/>
      <c r="J52" s="105" t="str">
        <f>IF(AND('Mapa final'!$AB$142="Muy Alta",'Mapa final'!$AD$142="Leve"),CONCATENATE("R47C",'Mapa final'!$R$142),"")</f>
        <v/>
      </c>
      <c r="K52" s="42" t="str">
        <f>IF(AND('Mapa final'!$AB$143="Muy Alta",'Mapa final'!$AD$143="Leve"),CONCATENATE("R47C",'Mapa final'!$R$143),"")</f>
        <v/>
      </c>
      <c r="L52" s="106" t="str">
        <f>IF(AND('Mapa final'!$AB$144="Muy Alta",'Mapa final'!$AD$144="Leve"),CONCATENATE("R47C",'Mapa final'!$R$144),"")</f>
        <v/>
      </c>
      <c r="M52" s="105" t="str">
        <f>IF(AND('Mapa final'!$AB$142="Muy Alta",'Mapa final'!$AD$142="Menor"),CONCATENATE("R47C",'Mapa final'!$R$142),"")</f>
        <v/>
      </c>
      <c r="N52" s="42" t="str">
        <f>IF(AND('Mapa final'!$AB$143="Muy Alta",'Mapa final'!$AD$143="Menor"),CONCATENATE("R47C",'Mapa final'!$R$143),"")</f>
        <v/>
      </c>
      <c r="O52" s="106" t="str">
        <f>IF(AND('Mapa final'!$AB$144="Muy Alta",'Mapa final'!$AD$144="Menor"),CONCATENATE("R47C",'Mapa final'!$R$144),"")</f>
        <v/>
      </c>
      <c r="P52" s="105" t="str">
        <f>IF(AND('Mapa final'!$AB$142="Muy Alta",'Mapa final'!$AD$142="Moderado"),CONCATENATE("R47C",'Mapa final'!$R$142),"")</f>
        <v/>
      </c>
      <c r="Q52" s="42" t="str">
        <f>IF(AND('Mapa final'!$AB$143="Muy Alta",'Mapa final'!$AD$143="Moderado"),CONCATENATE("R47C",'Mapa final'!$R$143),"")</f>
        <v/>
      </c>
      <c r="R52" s="106" t="str">
        <f>IF(AND('Mapa final'!$AB$144="Muy Alta",'Mapa final'!$AD$144="Moderado"),CONCATENATE("R47C",'Mapa final'!$R$144),"")</f>
        <v/>
      </c>
      <c r="S52" s="105" t="str">
        <f>IF(AND('Mapa final'!$AB$142="Muy Alta",'Mapa final'!$AD$142="Mayor"),CONCATENATE("R47C",'Mapa final'!$R$142),"")</f>
        <v/>
      </c>
      <c r="T52" s="42" t="str">
        <f>IF(AND('Mapa final'!$AB$143="Muy Alta",'Mapa final'!$AD$143="Mayor"),CONCATENATE("R47C",'Mapa final'!$R$143),"")</f>
        <v/>
      </c>
      <c r="U52" s="106" t="str">
        <f>IF(AND('Mapa final'!$AB$144="Muy Alta",'Mapa final'!$AD$144="Mayor"),CONCATENATE("R47C",'Mapa final'!$R$144),"")</f>
        <v/>
      </c>
      <c r="V52" s="43" t="str">
        <f>IF(AND('Mapa final'!$AB$142="Muy Alta",'Mapa final'!$AD$142="Catastrófico"),CONCATENATE("R47C",'Mapa final'!$R$142),"")</f>
        <v/>
      </c>
      <c r="W52" s="44" t="str">
        <f>IF(AND('Mapa final'!$AB$143="Muy Alta",'Mapa final'!$AD$143="Catastrófico"),CONCATENATE("R47C",'Mapa final'!$R$143),"")</f>
        <v/>
      </c>
      <c r="X52" s="100" t="str">
        <f>IF(AND('Mapa final'!$AB$144="Muy Alta",'Mapa final'!$AD$144="Catastrófico"),CONCATENATE("R47C",'Mapa final'!$R$144),"")</f>
        <v/>
      </c>
      <c r="Y52" s="56"/>
      <c r="Z52" s="294"/>
      <c r="AA52" s="295"/>
      <c r="AB52" s="295"/>
      <c r="AC52" s="295"/>
      <c r="AD52" s="295"/>
      <c r="AE52" s="29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row>
    <row r="53" spans="1:61" ht="15" customHeight="1" x14ac:dyDescent="0.35">
      <c r="A53" s="56"/>
      <c r="B53" s="300"/>
      <c r="C53" s="300"/>
      <c r="D53" s="301"/>
      <c r="E53" s="289"/>
      <c r="F53" s="290"/>
      <c r="G53" s="290"/>
      <c r="H53" s="290"/>
      <c r="I53" s="288"/>
      <c r="J53" s="105" t="str">
        <f>IF(AND('Mapa final'!$AB$145="Muy Alta",'Mapa final'!$AD$145="Leve"),CONCATENATE("R48C",'Mapa final'!$R$145),"")</f>
        <v/>
      </c>
      <c r="K53" s="42" t="str">
        <f>IF(AND('Mapa final'!$AB$146="Muy Alta",'Mapa final'!$AD$146="Leve"),CONCATENATE("R48C",'Mapa final'!$R$146),"")</f>
        <v/>
      </c>
      <c r="L53" s="106" t="str">
        <f>IF(AND('Mapa final'!$AB$147="Muy Alta",'Mapa final'!$AD$147="Leve"),CONCATENATE("R48C",'Mapa final'!$R$147),"")</f>
        <v/>
      </c>
      <c r="M53" s="105" t="str">
        <f>IF(AND('Mapa final'!$AB$145="Muy Alta",'Mapa final'!$AD$145="Menor"),CONCATENATE("R48C",'Mapa final'!$R$145),"")</f>
        <v/>
      </c>
      <c r="N53" s="42" t="str">
        <f>IF(AND('Mapa final'!$AB$146="Muy Alta",'Mapa final'!$AD$146="Menor"),CONCATENATE("R48C",'Mapa final'!$R$146),"")</f>
        <v/>
      </c>
      <c r="O53" s="106" t="str">
        <f>IF(AND('Mapa final'!$AB$147="Muy Alta",'Mapa final'!$AD$147="Menor"),CONCATENATE("R48C",'Mapa final'!$R$147),"")</f>
        <v/>
      </c>
      <c r="P53" s="105" t="str">
        <f>IF(AND('Mapa final'!$AB$145="Muy Alta",'Mapa final'!$AD$145="Moderado"),CONCATENATE("R48C",'Mapa final'!$R$145),"")</f>
        <v/>
      </c>
      <c r="Q53" s="42" t="str">
        <f>IF(AND('Mapa final'!$AB$146="Muy Alta",'Mapa final'!$AD$146="Moderado"),CONCATENATE("R48C",'Mapa final'!$R$146),"")</f>
        <v/>
      </c>
      <c r="R53" s="106" t="str">
        <f>IF(AND('Mapa final'!$AB$147="Muy Alta",'Mapa final'!$AD$147="Moderado"),CONCATENATE("R48C",'Mapa final'!$R$147),"")</f>
        <v/>
      </c>
      <c r="S53" s="105" t="str">
        <f>IF(AND('Mapa final'!$AB$145="Muy Alta",'Mapa final'!$AD$145="Mayor"),CONCATENATE("R48C",'Mapa final'!$R$145),"")</f>
        <v/>
      </c>
      <c r="T53" s="42" t="str">
        <f>IF(AND('Mapa final'!$AB$146="Muy Alta",'Mapa final'!$AD$146="Mayor"),CONCATENATE("R48C",'Mapa final'!$R$146),"")</f>
        <v/>
      </c>
      <c r="U53" s="106" t="str">
        <f>IF(AND('Mapa final'!$AB$147="Muy Alta",'Mapa final'!$AD$147="Mayor"),CONCATENATE("R48C",'Mapa final'!$R$147),"")</f>
        <v/>
      </c>
      <c r="V53" s="43" t="str">
        <f>IF(AND('Mapa final'!$AB$145="Muy Alta",'Mapa final'!$AD$145="Catastrófico"),CONCATENATE("R48C",'Mapa final'!$R$145),"")</f>
        <v/>
      </c>
      <c r="W53" s="44" t="str">
        <f>IF(AND('Mapa final'!$AB$146="Muy Alta",'Mapa final'!$AD$146="Catastrófico"),CONCATENATE("R48C",'Mapa final'!$R$146),"")</f>
        <v/>
      </c>
      <c r="X53" s="100" t="str">
        <f>IF(AND('Mapa final'!$AB$147="Muy Alta",'Mapa final'!$AD$147="Catastrófico"),CONCATENATE("R48C",'Mapa final'!$R$147),"")</f>
        <v/>
      </c>
      <c r="Y53" s="56"/>
      <c r="Z53" s="294"/>
      <c r="AA53" s="295"/>
      <c r="AB53" s="295"/>
      <c r="AC53" s="295"/>
      <c r="AD53" s="295"/>
      <c r="AE53" s="29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row>
    <row r="54" spans="1:61" ht="15" customHeight="1" x14ac:dyDescent="0.35">
      <c r="A54" s="56"/>
      <c r="B54" s="300"/>
      <c r="C54" s="300"/>
      <c r="D54" s="301"/>
      <c r="E54" s="289"/>
      <c r="F54" s="290"/>
      <c r="G54" s="290"/>
      <c r="H54" s="290"/>
      <c r="I54" s="288"/>
      <c r="J54" s="105" t="str">
        <f>IF(AND('Mapa final'!$AB$148="Muy Alta",'Mapa final'!$AD$148="Leve"),CONCATENATE("R49C",'Mapa final'!$R$148),"")</f>
        <v/>
      </c>
      <c r="K54" s="42" t="str">
        <f>IF(AND('Mapa final'!$AB$149="Muy Alta",'Mapa final'!$AD$149="Leve"),CONCATENATE("R49C",'Mapa final'!$R$149),"")</f>
        <v/>
      </c>
      <c r="L54" s="106" t="str">
        <f>IF(AND('Mapa final'!$AB$150="Muy Alta",'Mapa final'!$AD$150="Leve"),CONCATENATE("R49C",'Mapa final'!$R$150),"")</f>
        <v/>
      </c>
      <c r="M54" s="105" t="str">
        <f>IF(AND('Mapa final'!$AB$148="Muy Alta",'Mapa final'!$AD$148="Menor"),CONCATENATE("R49C",'Mapa final'!$R$148),"")</f>
        <v/>
      </c>
      <c r="N54" s="42" t="str">
        <f>IF(AND('Mapa final'!$AB$149="Muy Alta",'Mapa final'!$AD$149="Menor"),CONCATENATE("R49C",'Mapa final'!$R$149),"")</f>
        <v/>
      </c>
      <c r="O54" s="106" t="str">
        <f>IF(AND('Mapa final'!$AB$150="Muy Alta",'Mapa final'!$AD$150="Menor"),CONCATENATE("R49C",'Mapa final'!$R$150),"")</f>
        <v/>
      </c>
      <c r="P54" s="105" t="str">
        <f>IF(AND('Mapa final'!$AB$148="Muy Alta",'Mapa final'!$AD$148="Moderado"),CONCATENATE("R49C",'Mapa final'!$R$148),"")</f>
        <v/>
      </c>
      <c r="Q54" s="42" t="str">
        <f>IF(AND('Mapa final'!$AB$149="Muy Alta",'Mapa final'!$AD$149="Moderado"),CONCATENATE("R49C",'Mapa final'!$R$149),"")</f>
        <v/>
      </c>
      <c r="R54" s="106" t="str">
        <f>IF(AND('Mapa final'!$AB$150="Muy Alta",'Mapa final'!$AD$150="Moderado"),CONCATENATE("R49C",'Mapa final'!$R$150),"")</f>
        <v/>
      </c>
      <c r="S54" s="105" t="str">
        <f>IF(AND('Mapa final'!$AB$148="Muy Alta",'Mapa final'!$AD$148="Mayor"),CONCATENATE("R49C",'Mapa final'!$R$148),"")</f>
        <v/>
      </c>
      <c r="T54" s="42" t="str">
        <f>IF(AND('Mapa final'!$AB$149="Muy Alta",'Mapa final'!$AD$149="Mayor"),CONCATENATE("R49C",'Mapa final'!$R$149),"")</f>
        <v/>
      </c>
      <c r="U54" s="106" t="str">
        <f>IF(AND('Mapa final'!$AB$150="Muy Alta",'Mapa final'!$AD$150="Mayor"),CONCATENATE("R49C",'Mapa final'!$R$150),"")</f>
        <v/>
      </c>
      <c r="V54" s="43" t="str">
        <f>IF(AND('Mapa final'!$AB$148="Muy Alta",'Mapa final'!$AD$148="Catastrófico"),CONCATENATE("R49C",'Mapa final'!$R$148),"")</f>
        <v/>
      </c>
      <c r="W54" s="44" t="str">
        <f>IF(AND('Mapa final'!$AB$149="Muy Alta",'Mapa final'!$AD$149="Catastrófico"),CONCATENATE("R49C",'Mapa final'!$R$149),"")</f>
        <v/>
      </c>
      <c r="X54" s="100" t="str">
        <f>IF(AND('Mapa final'!$AB$150="Muy Alta",'Mapa final'!$AD$150="Catastrófico"),CONCATENATE("R49C",'Mapa final'!$R$150),"")</f>
        <v/>
      </c>
      <c r="Y54" s="56"/>
      <c r="Z54" s="294"/>
      <c r="AA54" s="295"/>
      <c r="AB54" s="295"/>
      <c r="AC54" s="295"/>
      <c r="AD54" s="295"/>
      <c r="AE54" s="29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row>
    <row r="55" spans="1:61" ht="15" customHeight="1" thickBot="1" x14ac:dyDescent="0.4">
      <c r="A55" s="56"/>
      <c r="B55" s="300"/>
      <c r="C55" s="300"/>
      <c r="D55" s="301"/>
      <c r="E55" s="289"/>
      <c r="F55" s="290"/>
      <c r="G55" s="290"/>
      <c r="H55" s="290"/>
      <c r="I55" s="288"/>
      <c r="J55" s="105" t="str">
        <f>IF(AND('Mapa final'!$AB$151="Muy Alta",'Mapa final'!$AD$151="Leve"),CONCATENATE("R50C",'Mapa final'!$R$151),"")</f>
        <v/>
      </c>
      <c r="K55" s="42" t="str">
        <f>IF(AND('Mapa final'!$AB$152="Muy Alta",'Mapa final'!$AD$152="Leve"),CONCATENATE("R50C",'Mapa final'!$R$152),"")</f>
        <v/>
      </c>
      <c r="L55" s="106" t="str">
        <f>IF(AND('Mapa final'!$AB$153="Muy Alta",'Mapa final'!$AD$153="Leve"),CONCATENATE("R50C",'Mapa final'!$R$153),"")</f>
        <v/>
      </c>
      <c r="M55" s="105" t="str">
        <f>IF(AND('Mapa final'!$AB$151="Muy Alta",'Mapa final'!$AD$151="Menor"),CONCATENATE("R50C",'Mapa final'!$R$151),"")</f>
        <v/>
      </c>
      <c r="N55" s="42" t="str">
        <f>IF(AND('Mapa final'!$AB$152="Muy Alta",'Mapa final'!$AD$152="Menor"),CONCATENATE("R50C",'Mapa final'!$R$152),"")</f>
        <v/>
      </c>
      <c r="O55" s="106" t="str">
        <f>IF(AND('Mapa final'!$AB$153="Muy Alta",'Mapa final'!$AD$153="Menor"),CONCATENATE("R50C",'Mapa final'!$R$153),"")</f>
        <v/>
      </c>
      <c r="P55" s="105" t="str">
        <f>IF(AND('Mapa final'!$AB$151="Muy Alta",'Mapa final'!$AD$151="Moderado"),CONCATENATE("R50C",'Mapa final'!$R$151),"")</f>
        <v/>
      </c>
      <c r="Q55" s="42" t="str">
        <f>IF(AND('Mapa final'!$AB$152="Muy Alta",'Mapa final'!$AD$152="Moderado"),CONCATENATE("R50C",'Mapa final'!$R$152),"")</f>
        <v/>
      </c>
      <c r="R55" s="106" t="str">
        <f>IF(AND('Mapa final'!$AB$153="Muy Alta",'Mapa final'!$AD$153="Moderado"),CONCATENATE("R50C",'Mapa final'!$R$153),"")</f>
        <v/>
      </c>
      <c r="S55" s="107" t="str">
        <f>IF(AND('Mapa final'!$AB$151="Muy Alta",'Mapa final'!$AD$151="Mayor"),CONCATENATE("R50C",'Mapa final'!$R$151),"")</f>
        <v/>
      </c>
      <c r="T55" s="108" t="str">
        <f>IF(AND('Mapa final'!$AB$152="Muy Alta",'Mapa final'!$AD$152="Mayor"),CONCATENATE("R50C",'Mapa final'!$R$152),"")</f>
        <v/>
      </c>
      <c r="U55" s="109" t="str">
        <f>IF(AND('Mapa final'!$AB$153="Muy Alta",'Mapa final'!$AD$153="Mayor"),CONCATENATE("R50C",'Mapa final'!$R$153),"")</f>
        <v/>
      </c>
      <c r="V55" s="45" t="str">
        <f>IF(AND('Mapa final'!$AB$151="Muy Alta",'Mapa final'!$AD$151="Catastrófico"),CONCATENATE("R50C",'Mapa final'!$R$151),"")</f>
        <v/>
      </c>
      <c r="W55" s="46" t="str">
        <f>IF(AND('Mapa final'!$AB$152="Muy Alta",'Mapa final'!$AD$152="Catastrófico"),CONCATENATE("R50C",'Mapa final'!$R$152),"")</f>
        <v/>
      </c>
      <c r="X55" s="101" t="str">
        <f>IF(AND('Mapa final'!$AB$153="Muy Alta",'Mapa final'!$AD$153="Catastrófico"),CONCATENATE("R50C",'Mapa final'!$R$153),"")</f>
        <v/>
      </c>
      <c r="Y55" s="56"/>
      <c r="Z55" s="294"/>
      <c r="AA55" s="295"/>
      <c r="AB55" s="295"/>
      <c r="AC55" s="295"/>
      <c r="AD55" s="295"/>
      <c r="AE55" s="29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row>
    <row r="56" spans="1:61" ht="15" customHeight="1" x14ac:dyDescent="0.35">
      <c r="A56" s="56"/>
      <c r="B56" s="300"/>
      <c r="C56" s="300"/>
      <c r="D56" s="301"/>
      <c r="E56" s="285" t="s">
        <v>106</v>
      </c>
      <c r="F56" s="286"/>
      <c r="G56" s="286"/>
      <c r="H56" s="286"/>
      <c r="I56" s="286"/>
      <c r="J56" s="47" t="str">
        <f>IF(AND('Mapa final'!$AB$7="Alta",'Mapa final'!$AD$7="Leve"),CONCATENATE("R1C",'Mapa final'!$R$7),"")</f>
        <v/>
      </c>
      <c r="K56" s="48" t="str">
        <f>IF(AND('Mapa final'!$AB$8="Alta",'Mapa final'!$AD$8="Leve"),CONCATENATE("R1C",'Mapa final'!$R$8),"")</f>
        <v/>
      </c>
      <c r="L56" s="110" t="str">
        <f>IF(AND('Mapa final'!$AB$9="Alta",'Mapa final'!$AD$9="Leve"),CONCATENATE("R1C",'Mapa final'!$R$9),"")</f>
        <v/>
      </c>
      <c r="M56" s="47" t="str">
        <f>IF(AND('Mapa final'!$AB$7="Alta",'Mapa final'!$AD$7="Menor"),CONCATENATE("R1C",'Mapa final'!$R$7),"")</f>
        <v/>
      </c>
      <c r="N56" s="48" t="str">
        <f>IF(AND('Mapa final'!$AB$8="Alta",'Mapa final'!$AD$8="Menor"),CONCATENATE("R1C",'Mapa final'!$R$8),"")</f>
        <v/>
      </c>
      <c r="O56" s="110" t="str">
        <f>IF(AND('Mapa final'!$AB$9="Alta",'Mapa final'!$AD$9="Menor"),CONCATENATE("R1C",'Mapa final'!$R$9),"")</f>
        <v/>
      </c>
      <c r="P56" s="102" t="str">
        <f>IF(AND('Mapa final'!$AB$7="Alta",'Mapa final'!$AD$7="Moderado"),CONCATENATE("R1C",'Mapa final'!$R$7),"")</f>
        <v/>
      </c>
      <c r="Q56" s="103" t="str">
        <f>IF(AND('Mapa final'!$AB$8="Alta",'Mapa final'!$AD$8="Moderado"),CONCATENATE("R1C",'Mapa final'!$R$8),"")</f>
        <v/>
      </c>
      <c r="R56" s="104" t="str">
        <f>IF(AND('Mapa final'!$AB$9="Alta",'Mapa final'!$AD$9="Moderado"),CONCATENATE("R1C",'Mapa final'!$R$9),"")</f>
        <v/>
      </c>
      <c r="S56" s="102" t="str">
        <f>IF(AND('Mapa final'!$AB$7="Alta",'Mapa final'!$AD$7="Mayor"),CONCATENATE("R1C",'Mapa final'!$R$7),"")</f>
        <v/>
      </c>
      <c r="T56" s="103" t="str">
        <f>IF(AND('Mapa final'!$AB$8="Alta",'Mapa final'!$AD$8="Mayor"),CONCATENATE("R1C",'Mapa final'!$R$8),"")</f>
        <v/>
      </c>
      <c r="U56" s="104" t="str">
        <f>IF(AND('Mapa final'!$AB$9="Alta",'Mapa final'!$AD$9="Mayor"),CONCATENATE("R1C",'Mapa final'!$R$9),"")</f>
        <v/>
      </c>
      <c r="V56" s="40" t="str">
        <f>IF(AND('Mapa final'!$AB$7="Alta",'Mapa final'!$AD$7="Catastrófico"),CONCATENATE("R1C",'Mapa final'!$R$7),"")</f>
        <v/>
      </c>
      <c r="W56" s="41" t="str">
        <f>IF(AND('Mapa final'!$AB$8="Alta",'Mapa final'!$AD$8="Catastrófico"),CONCATENATE("R1C",'Mapa final'!$R$8),"")</f>
        <v/>
      </c>
      <c r="X56" s="99" t="str">
        <f>IF(AND('Mapa final'!$AB$9="Alta",'Mapa final'!$AD$9="Catastrófico"),CONCATENATE("R1C",'Mapa final'!$R$9),"")</f>
        <v/>
      </c>
      <c r="Y56" s="56"/>
      <c r="Z56" s="279" t="s">
        <v>74</v>
      </c>
      <c r="AA56" s="280"/>
      <c r="AB56" s="280"/>
      <c r="AC56" s="280"/>
      <c r="AD56" s="280"/>
      <c r="AE56" s="281"/>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row>
    <row r="57" spans="1:61" ht="15" customHeight="1" x14ac:dyDescent="0.35">
      <c r="A57" s="56"/>
      <c r="B57" s="300"/>
      <c r="C57" s="300"/>
      <c r="D57" s="301"/>
      <c r="E57" s="287"/>
      <c r="F57" s="288"/>
      <c r="G57" s="288"/>
      <c r="H57" s="288"/>
      <c r="I57" s="288"/>
      <c r="J57" s="49" t="str">
        <f>IF(AND('Mapa final'!$AB$10="Alta",'Mapa final'!$AD$10="Leve"),CONCATENATE("R2C",'Mapa final'!$R$10),"")</f>
        <v/>
      </c>
      <c r="K57" s="50" t="str">
        <f>IF(AND('Mapa final'!$AB$11="Alta",'Mapa final'!$AD$11="Leve"),CONCATENATE("R2C",'Mapa final'!$R$11),"")</f>
        <v/>
      </c>
      <c r="L57" s="111" t="str">
        <f>IF(AND('Mapa final'!$AB$12="Alta",'Mapa final'!$AD$12="Leve"),CONCATENATE("R2C",'Mapa final'!$R$12),"")</f>
        <v/>
      </c>
      <c r="M57" s="49" t="str">
        <f>IF(AND('Mapa final'!$AB$10="Alta",'Mapa final'!$AD$10="Menor"),CONCATENATE("R2C",'Mapa final'!$R$10),"")</f>
        <v/>
      </c>
      <c r="N57" s="50" t="str">
        <f>IF(AND('Mapa final'!$AB$11="Alta",'Mapa final'!$AD$11="Menor"),CONCATENATE("R2C",'Mapa final'!$R$11),"")</f>
        <v/>
      </c>
      <c r="O57" s="111" t="str">
        <f>IF(AND('Mapa final'!$AB$12="Alta",'Mapa final'!$AD$12="Menor"),CONCATENATE("R2C",'Mapa final'!$R$12),"")</f>
        <v/>
      </c>
      <c r="P57" s="105" t="str">
        <f>IF(AND('Mapa final'!$AB$10="Alta",'Mapa final'!$AD$10="Moderado"),CONCATENATE("R2C",'Mapa final'!$R$10),"")</f>
        <v/>
      </c>
      <c r="Q57" s="42" t="str">
        <f>IF(AND('Mapa final'!$AB$11="Alta",'Mapa final'!$AD$11="Moderado"),CONCATENATE("R2C",'Mapa final'!$R$11),"")</f>
        <v/>
      </c>
      <c r="R57" s="106" t="str">
        <f>IF(AND('Mapa final'!$AB$12="Alta",'Mapa final'!$AD$12="Moderado"),CONCATENATE("R2C",'Mapa final'!$R$12),"")</f>
        <v/>
      </c>
      <c r="S57" s="105" t="str">
        <f>IF(AND('Mapa final'!$AB$10="Alta",'Mapa final'!$AD$10="Mayor"),CONCATENATE("R2C",'Mapa final'!$R$10),"")</f>
        <v/>
      </c>
      <c r="T57" s="42" t="str">
        <f>IF(AND('Mapa final'!$AB$11="Alta",'Mapa final'!$AD$11="Mayor"),CONCATENATE("R2C",'Mapa final'!$R$11),"")</f>
        <v/>
      </c>
      <c r="U57" s="106" t="str">
        <f>IF(AND('Mapa final'!$AB$12="Alta",'Mapa final'!$AD$12="Mayor"),CONCATENATE("R2C",'Mapa final'!$R$12),"")</f>
        <v/>
      </c>
      <c r="V57" s="43" t="str">
        <f>IF(AND('Mapa final'!$AB$10="Alta",'Mapa final'!$AD$10="Catastrófico"),CONCATENATE("R2C",'Mapa final'!$R$10),"")</f>
        <v/>
      </c>
      <c r="W57" s="44" t="str">
        <f>IF(AND('Mapa final'!$AB$11="Alta",'Mapa final'!$AD$11="Catastrófico"),CONCATENATE("R2C",'Mapa final'!$R$11),"")</f>
        <v/>
      </c>
      <c r="X57" s="100" t="str">
        <f>IF(AND('Mapa final'!$AB$12="Alta",'Mapa final'!$AD$12="Catastrófico"),CONCATENATE("R2C",'Mapa final'!$R$12),"")</f>
        <v/>
      </c>
      <c r="Y57" s="56"/>
      <c r="Z57" s="282"/>
      <c r="AA57" s="283"/>
      <c r="AB57" s="283"/>
      <c r="AC57" s="283"/>
      <c r="AD57" s="283"/>
      <c r="AE57" s="284"/>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row>
    <row r="58" spans="1:61" ht="15" customHeight="1" x14ac:dyDescent="0.35">
      <c r="A58" s="56"/>
      <c r="B58" s="300"/>
      <c r="C58" s="300"/>
      <c r="D58" s="301"/>
      <c r="E58" s="289"/>
      <c r="F58" s="290"/>
      <c r="G58" s="290"/>
      <c r="H58" s="290"/>
      <c r="I58" s="288"/>
      <c r="J58" s="49" t="str">
        <f>IF(AND('Mapa final'!$AB$13="Alta",'Mapa final'!$AD$13="Leve"),CONCATENATE("R3C",'Mapa final'!$R$13),"")</f>
        <v/>
      </c>
      <c r="K58" s="50" t="str">
        <f>IF(AND('Mapa final'!$AB$14="Alta",'Mapa final'!$AD$14="Leve"),CONCATENATE("R3C",'Mapa final'!$R$14),"")</f>
        <v/>
      </c>
      <c r="L58" s="111" t="str">
        <f>IF(AND('Mapa final'!$AB$15="Alta",'Mapa final'!$AD$15="Leve"),CONCATENATE("R3C",'Mapa final'!$R$15),"")</f>
        <v/>
      </c>
      <c r="M58" s="49" t="str">
        <f>IF(AND('Mapa final'!$AB$13="Alta",'Mapa final'!$AD$13="Menor"),CONCATENATE("R3C",'Mapa final'!$R$13),"")</f>
        <v/>
      </c>
      <c r="N58" s="50" t="str">
        <f>IF(AND('Mapa final'!$AB$14="Alta",'Mapa final'!$AD$14="Menor"),CONCATENATE("R3C",'Mapa final'!$R$14),"")</f>
        <v/>
      </c>
      <c r="O58" s="111" t="str">
        <f>IF(AND('Mapa final'!$AB$15="Alta",'Mapa final'!$AD$15="Menor"),CONCATENATE("R3C",'Mapa final'!$R$15),"")</f>
        <v/>
      </c>
      <c r="P58" s="105" t="str">
        <f>IF(AND('Mapa final'!$AB$13="Alta",'Mapa final'!$AD$13="Moderado"),CONCATENATE("R3C",'Mapa final'!$R$13),"")</f>
        <v/>
      </c>
      <c r="Q58" s="42" t="str">
        <f>IF(AND('Mapa final'!$AB$14="Alta",'Mapa final'!$AD$14="Moderado"),CONCATENATE("R3C",'Mapa final'!$R$14),"")</f>
        <v/>
      </c>
      <c r="R58" s="106" t="str">
        <f>IF(AND('Mapa final'!$AB$15="Alta",'Mapa final'!$AD$15="Moderado"),CONCATENATE("R3C",'Mapa final'!$R$15),"")</f>
        <v/>
      </c>
      <c r="S58" s="105" t="str">
        <f>IF(AND('Mapa final'!$AB$13="Alta",'Mapa final'!$AD$13="Mayor"),CONCATENATE("R3C",'Mapa final'!$R$13),"")</f>
        <v/>
      </c>
      <c r="T58" s="42" t="str">
        <f>IF(AND('Mapa final'!$AB$14="Alta",'Mapa final'!$AD$14="Mayor"),CONCATENATE("R3C",'Mapa final'!$R$14),"")</f>
        <v/>
      </c>
      <c r="U58" s="106" t="str">
        <f>IF(AND('Mapa final'!$AB$15="Alta",'Mapa final'!$AD$15="Mayor"),CONCATENATE("R3C",'Mapa final'!$R$15),"")</f>
        <v/>
      </c>
      <c r="V58" s="43" t="str">
        <f>IF(AND('Mapa final'!$AB$13="Alta",'Mapa final'!$AD$13="Catastrófico"),CONCATENATE("R3C",'Mapa final'!$R$13),"")</f>
        <v/>
      </c>
      <c r="W58" s="44" t="str">
        <f>IF(AND('Mapa final'!$AB$14="Alta",'Mapa final'!$AD$14="Catastrófico"),CONCATENATE("R3C",'Mapa final'!$R$14),"")</f>
        <v/>
      </c>
      <c r="X58" s="100" t="str">
        <f>IF(AND('Mapa final'!$AB$15="Alta",'Mapa final'!$AD$15="Catastrófico"),CONCATENATE("R3C",'Mapa final'!$R$15),"")</f>
        <v/>
      </c>
      <c r="Y58" s="56"/>
      <c r="Z58" s="282"/>
      <c r="AA58" s="283"/>
      <c r="AB58" s="283"/>
      <c r="AC58" s="283"/>
      <c r="AD58" s="283"/>
      <c r="AE58" s="284"/>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row>
    <row r="59" spans="1:61" ht="15" customHeight="1" x14ac:dyDescent="0.35">
      <c r="A59" s="56"/>
      <c r="B59" s="300"/>
      <c r="C59" s="300"/>
      <c r="D59" s="301"/>
      <c r="E59" s="289"/>
      <c r="F59" s="290"/>
      <c r="G59" s="290"/>
      <c r="H59" s="290"/>
      <c r="I59" s="288"/>
      <c r="J59" s="49" t="e">
        <f>IF(AND('Mapa final'!#REF!="Alta",'Mapa final'!#REF!="Leve"),CONCATENATE("R4C",'Mapa final'!#REF!),"")</f>
        <v>#REF!</v>
      </c>
      <c r="K59" s="50" t="e">
        <f>IF(AND('Mapa final'!#REF!="Alta",'Mapa final'!#REF!="Leve"),CONCATENATE("R4C",'Mapa final'!#REF!),"")</f>
        <v>#REF!</v>
      </c>
      <c r="L59" s="111" t="e">
        <f>IF(AND('Mapa final'!#REF!="Alta",'Mapa final'!#REF!="Leve"),CONCATENATE("R4C",'Mapa final'!#REF!),"")</f>
        <v>#REF!</v>
      </c>
      <c r="M59" s="49" t="e">
        <f>IF(AND('Mapa final'!#REF!="Alta",'Mapa final'!#REF!="Menor"),CONCATENATE("R4C",'Mapa final'!#REF!),"")</f>
        <v>#REF!</v>
      </c>
      <c r="N59" s="50" t="e">
        <f>IF(AND('Mapa final'!#REF!="Alta",'Mapa final'!#REF!="Menor"),CONCATENATE("R4C",'Mapa final'!#REF!),"")</f>
        <v>#REF!</v>
      </c>
      <c r="O59" s="111" t="e">
        <f>IF(AND('Mapa final'!#REF!="Alta",'Mapa final'!#REF!="Menor"),CONCATENATE("R4C",'Mapa final'!#REF!),"")</f>
        <v>#REF!</v>
      </c>
      <c r="P59" s="105" t="e">
        <f>IF(AND('Mapa final'!#REF!="Alta",'Mapa final'!#REF!="Moderado"),CONCATENATE("R4C",'Mapa final'!#REF!),"")</f>
        <v>#REF!</v>
      </c>
      <c r="Q59" s="42" t="e">
        <f>IF(AND('Mapa final'!#REF!="Alta",'Mapa final'!#REF!="Moderado"),CONCATENATE("R4C",'Mapa final'!#REF!),"")</f>
        <v>#REF!</v>
      </c>
      <c r="R59" s="106" t="e">
        <f>IF(AND('Mapa final'!#REF!="Alta",'Mapa final'!#REF!="Moderado"),CONCATENATE("R4C",'Mapa final'!#REF!),"")</f>
        <v>#REF!</v>
      </c>
      <c r="S59" s="105" t="e">
        <f>IF(AND('Mapa final'!#REF!="Alta",'Mapa final'!#REF!="Mayor"),CONCATENATE("R4C",'Mapa final'!#REF!),"")</f>
        <v>#REF!</v>
      </c>
      <c r="T59" s="42" t="e">
        <f>IF(AND('Mapa final'!#REF!="Alta",'Mapa final'!#REF!="Mayor"),CONCATENATE("R4C",'Mapa final'!#REF!),"")</f>
        <v>#REF!</v>
      </c>
      <c r="U59" s="106" t="e">
        <f>IF(AND('Mapa final'!#REF!="Alta",'Mapa final'!#REF!="Mayor"),CONCATENATE("R4C",'Mapa final'!#REF!),"")</f>
        <v>#REF!</v>
      </c>
      <c r="V59" s="43" t="e">
        <f>IF(AND('Mapa final'!#REF!="Alta",'Mapa final'!#REF!="Catastrófico"),CONCATENATE("R4C",'Mapa final'!#REF!),"")</f>
        <v>#REF!</v>
      </c>
      <c r="W59" s="44" t="e">
        <f>IF(AND('Mapa final'!#REF!="Alta",'Mapa final'!#REF!="Catastrófico"),CONCATENATE("R4C",'Mapa final'!#REF!),"")</f>
        <v>#REF!</v>
      </c>
      <c r="X59" s="100" t="e">
        <f>IF(AND('Mapa final'!#REF!="Alta",'Mapa final'!#REF!="Catastrófico"),CONCATENATE("R4C",'Mapa final'!#REF!),"")</f>
        <v>#REF!</v>
      </c>
      <c r="Y59" s="56"/>
      <c r="Z59" s="282"/>
      <c r="AA59" s="283"/>
      <c r="AB59" s="283"/>
      <c r="AC59" s="283"/>
      <c r="AD59" s="283"/>
      <c r="AE59" s="284"/>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row>
    <row r="60" spans="1:61" ht="12" customHeight="1" x14ac:dyDescent="0.35">
      <c r="A60" s="56"/>
      <c r="B60" s="300"/>
      <c r="C60" s="300"/>
      <c r="D60" s="301"/>
      <c r="E60" s="289"/>
      <c r="F60" s="290"/>
      <c r="G60" s="290"/>
      <c r="H60" s="290"/>
      <c r="I60" s="288"/>
      <c r="J60" s="49" t="str">
        <f>IF(AND('Mapa final'!$AB$16="Alta",'Mapa final'!$AD$16="Leve"),CONCATENATE("R5C",'Mapa final'!$R$16),"")</f>
        <v/>
      </c>
      <c r="K60" s="50" t="str">
        <f>IF(AND('Mapa final'!$AB$17="Alta",'Mapa final'!$AD$17="Leve"),CONCATENATE("R5C",'Mapa final'!$R$17),"")</f>
        <v/>
      </c>
      <c r="L60" s="111" t="str">
        <f>IF(AND('Mapa final'!$AB$18="Alta",'Mapa final'!$AD$18="Leve"),CONCATENATE("R5C",'Mapa final'!$R$18),"")</f>
        <v/>
      </c>
      <c r="M60" s="49" t="str">
        <f>IF(AND('Mapa final'!$AB$16="Alta",'Mapa final'!$AD$16="Menor"),CONCATENATE("R5C",'Mapa final'!$R$16),"")</f>
        <v/>
      </c>
      <c r="N60" s="50" t="str">
        <f>IF(AND('Mapa final'!$AB$17="Alta",'Mapa final'!$AD$17="Menor"),CONCATENATE("R5C",'Mapa final'!$R$17),"")</f>
        <v/>
      </c>
      <c r="O60" s="111" t="str">
        <f>IF(AND('Mapa final'!$AB$18="Alta",'Mapa final'!$AD$18="Menor"),CONCATENATE("R5C",'Mapa final'!$R$18),"")</f>
        <v/>
      </c>
      <c r="P60" s="105" t="str">
        <f>IF(AND('Mapa final'!$AB$16="Alta",'Mapa final'!$AD$16="Moderado"),CONCATENATE("R5C",'Mapa final'!$R$16),"")</f>
        <v/>
      </c>
      <c r="Q60" s="42" t="str">
        <f>IF(AND('Mapa final'!$AB$17="Alta",'Mapa final'!$AD$17="Moderado"),CONCATENATE("R5C",'Mapa final'!$R$17),"")</f>
        <v/>
      </c>
      <c r="R60" s="106" t="str">
        <f>IF(AND('Mapa final'!$AB$18="Alta",'Mapa final'!$AD$18="Moderado"),CONCATENATE("R5C",'Mapa final'!$R$18),"")</f>
        <v/>
      </c>
      <c r="S60" s="105" t="str">
        <f>IF(AND('Mapa final'!$AB$16="Alta",'Mapa final'!$AD$16="Mayor"),CONCATENATE("R5C",'Mapa final'!$R$16),"")</f>
        <v/>
      </c>
      <c r="T60" s="42" t="str">
        <f>IF(AND('Mapa final'!$AB$17="Alta",'Mapa final'!$AD$17="Mayor"),CONCATENATE("R5C",'Mapa final'!$R$17),"")</f>
        <v/>
      </c>
      <c r="U60" s="106" t="str">
        <f>IF(AND('Mapa final'!$AB$18="Alta",'Mapa final'!$AD$18="Mayor"),CONCATENATE("R5C",'Mapa final'!$R$18),"")</f>
        <v/>
      </c>
      <c r="V60" s="43" t="str">
        <f>IF(AND('Mapa final'!$AB$16="Alta",'Mapa final'!$AD$16="Catastrófico"),CONCATENATE("R5C",'Mapa final'!$R$16),"")</f>
        <v/>
      </c>
      <c r="W60" s="44" t="str">
        <f>IF(AND('Mapa final'!$AB$17="Alta",'Mapa final'!$AD$17="Catastrófico"),CONCATENATE("R5C",'Mapa final'!$R$17),"")</f>
        <v/>
      </c>
      <c r="X60" s="100" t="str">
        <f>IF(AND('Mapa final'!$AB$18="Alta",'Mapa final'!$AD$18="Catastrófico"),CONCATENATE("R5C",'Mapa final'!$R$18),"")</f>
        <v/>
      </c>
      <c r="Y60" s="56"/>
      <c r="Z60" s="282"/>
      <c r="AA60" s="283"/>
      <c r="AB60" s="283"/>
      <c r="AC60" s="283"/>
      <c r="AD60" s="283"/>
      <c r="AE60" s="284"/>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row>
    <row r="61" spans="1:61" ht="12" customHeight="1" x14ac:dyDescent="0.35">
      <c r="A61" s="56"/>
      <c r="B61" s="300"/>
      <c r="C61" s="300"/>
      <c r="D61" s="301"/>
      <c r="E61" s="289"/>
      <c r="F61" s="290"/>
      <c r="G61" s="290"/>
      <c r="H61" s="290"/>
      <c r="I61" s="288"/>
      <c r="J61" s="49" t="str">
        <f>IF(AND('Mapa final'!$AB$19="Alta",'Mapa final'!$AD$19="Leve"),CONCATENATE("R6C",'Mapa final'!$R$19),"")</f>
        <v/>
      </c>
      <c r="K61" s="50" t="str">
        <f>IF(AND('Mapa final'!$AB$20="Alta",'Mapa final'!$AD$20="Leve"),CONCATENATE("R6C",'Mapa final'!$R$20),"")</f>
        <v/>
      </c>
      <c r="L61" s="111" t="str">
        <f>IF(AND('Mapa final'!$AB$21="Alta",'Mapa final'!$AD$21="Leve"),CONCATENATE("R6C",'Mapa final'!$R$21),"")</f>
        <v/>
      </c>
      <c r="M61" s="49" t="str">
        <f>IF(AND('Mapa final'!$AB$19="Alta",'Mapa final'!$AD$19="Menor"),CONCATENATE("R6C",'Mapa final'!$R$19),"")</f>
        <v/>
      </c>
      <c r="N61" s="50" t="str">
        <f>IF(AND('Mapa final'!$AB$20="Alta",'Mapa final'!$AD$20="Menor"),CONCATENATE("R6C",'Mapa final'!$R$20),"")</f>
        <v/>
      </c>
      <c r="O61" s="111" t="str">
        <f>IF(AND('Mapa final'!$AB$21="Alta",'Mapa final'!$AD$21="Menor"),CONCATENATE("R6C",'Mapa final'!$R$21),"")</f>
        <v/>
      </c>
      <c r="P61" s="105" t="str">
        <f>IF(AND('Mapa final'!$AB$19="Alta",'Mapa final'!$AD$19="Moderado"),CONCATENATE("R6C",'Mapa final'!$R$19),"")</f>
        <v/>
      </c>
      <c r="Q61" s="42" t="str">
        <f>IF(AND('Mapa final'!$AB$20="Alta",'Mapa final'!$AD$20="Moderado"),CONCATENATE("R6C",'Mapa final'!$R$20),"")</f>
        <v/>
      </c>
      <c r="R61" s="106" t="str">
        <f>IF(AND('Mapa final'!$AB$21="Alta",'Mapa final'!$AD$21="Moderado"),CONCATENATE("R6C",'Mapa final'!$R$21),"")</f>
        <v/>
      </c>
      <c r="S61" s="105" t="str">
        <f>IF(AND('Mapa final'!$AB$19="Alta",'Mapa final'!$AD$19="Mayor"),CONCATENATE("R6C",'Mapa final'!$R$19),"")</f>
        <v/>
      </c>
      <c r="T61" s="42" t="str">
        <f>IF(AND('Mapa final'!$AB$20="Alta",'Mapa final'!$AD$20="Mayor"),CONCATENATE("R6C",'Mapa final'!$R$20),"")</f>
        <v/>
      </c>
      <c r="U61" s="106" t="str">
        <f>IF(AND('Mapa final'!$AB$21="Alta",'Mapa final'!$AD$21="Mayor"),CONCATENATE("R6C",'Mapa final'!$R$21),"")</f>
        <v/>
      </c>
      <c r="V61" s="43" t="str">
        <f>IF(AND('Mapa final'!$AB$19="Alta",'Mapa final'!$AD$19="Catastrófico"),CONCATENATE("R6C",'Mapa final'!$R$19),"")</f>
        <v/>
      </c>
      <c r="W61" s="44" t="str">
        <f>IF(AND('Mapa final'!$AB$20="Alta",'Mapa final'!$AD$20="Catastrófico"),CONCATENATE("R6C",'Mapa final'!$R$20),"")</f>
        <v/>
      </c>
      <c r="X61" s="100" t="str">
        <f>IF(AND('Mapa final'!$AB$21="Alta",'Mapa final'!$AD$21="Catastrófico"),CONCATENATE("R6C",'Mapa final'!$R$21),"")</f>
        <v/>
      </c>
      <c r="Y61" s="56"/>
      <c r="Z61" s="282"/>
      <c r="AA61" s="283"/>
      <c r="AB61" s="283"/>
      <c r="AC61" s="283"/>
      <c r="AD61" s="283"/>
      <c r="AE61" s="284"/>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row>
    <row r="62" spans="1:61" ht="12" customHeight="1" x14ac:dyDescent="0.35">
      <c r="A62" s="56"/>
      <c r="B62" s="300"/>
      <c r="C62" s="300"/>
      <c r="D62" s="301"/>
      <c r="E62" s="289"/>
      <c r="F62" s="290"/>
      <c r="G62" s="290"/>
      <c r="H62" s="290"/>
      <c r="I62" s="288"/>
      <c r="J62" s="49" t="str">
        <f>IF(AND('Mapa final'!$AB$22="Alta",'Mapa final'!$AD$22="Leve"),CONCATENATE("R7C",'Mapa final'!$R$22),"")</f>
        <v/>
      </c>
      <c r="K62" s="50" t="str">
        <f>IF(AND('Mapa final'!$AB$23="Alta",'Mapa final'!$AD$23="Leve"),CONCATENATE("R7C",'Mapa final'!$R$23),"")</f>
        <v/>
      </c>
      <c r="L62" s="111" t="str">
        <f>IF(AND('Mapa final'!$AB$24="Alta",'Mapa final'!$AD$24="Leve"),CONCATENATE("R7C",'Mapa final'!$R$24),"")</f>
        <v/>
      </c>
      <c r="M62" s="49" t="str">
        <f>IF(AND('Mapa final'!$AB$22="Alta",'Mapa final'!$AD$22="Menor"),CONCATENATE("R7C",'Mapa final'!$R$22),"")</f>
        <v/>
      </c>
      <c r="N62" s="50" t="str">
        <f>IF(AND('Mapa final'!$AB$23="Alta",'Mapa final'!$AD$23="Menor"),CONCATENATE("R7C",'Mapa final'!$R$23),"")</f>
        <v/>
      </c>
      <c r="O62" s="111" t="str">
        <f>IF(AND('Mapa final'!$AB$24="Alta",'Mapa final'!$AD$24="Menor"),CONCATENATE("R7C",'Mapa final'!$R$24),"")</f>
        <v/>
      </c>
      <c r="P62" s="105" t="str">
        <f>IF(AND('Mapa final'!$AB$22="Alta",'Mapa final'!$AD$22="Moderado"),CONCATENATE("R7C",'Mapa final'!$R$22),"")</f>
        <v/>
      </c>
      <c r="Q62" s="42" t="str">
        <f>IF(AND('Mapa final'!$AB$23="Alta",'Mapa final'!$AD$23="Moderado"),CONCATENATE("R7C",'Mapa final'!$R$23),"")</f>
        <v/>
      </c>
      <c r="R62" s="106" t="str">
        <f>IF(AND('Mapa final'!$AB$24="Alta",'Mapa final'!$AD$24="Moderado"),CONCATENATE("R7C",'Mapa final'!$R$24),"")</f>
        <v/>
      </c>
      <c r="S62" s="105" t="str">
        <f>IF(AND('Mapa final'!$AB$22="Alta",'Mapa final'!$AD$22="Mayor"),CONCATENATE("R7C",'Mapa final'!$R$22),"")</f>
        <v/>
      </c>
      <c r="T62" s="42" t="str">
        <f>IF(AND('Mapa final'!$AB$23="Alta",'Mapa final'!$AD$23="Mayor"),CONCATENATE("R7C",'Mapa final'!$R$23),"")</f>
        <v/>
      </c>
      <c r="U62" s="106" t="str">
        <f>IF(AND('Mapa final'!$AB$24="Alta",'Mapa final'!$AD$24="Mayor"),CONCATENATE("R7C",'Mapa final'!$R$24),"")</f>
        <v/>
      </c>
      <c r="V62" s="43" t="str">
        <f>IF(AND('Mapa final'!$AB$22="Alta",'Mapa final'!$AD$22="Catastrófico"),CONCATENATE("R7C",'Mapa final'!$R$22),"")</f>
        <v/>
      </c>
      <c r="W62" s="44" t="str">
        <f>IF(AND('Mapa final'!$AB$23="Alta",'Mapa final'!$AD$23="Catastrófico"),CONCATENATE("R7C",'Mapa final'!$R$23),"")</f>
        <v/>
      </c>
      <c r="X62" s="100" t="str">
        <f>IF(AND('Mapa final'!$AB$24="Alta",'Mapa final'!$AD$24="Catastrófico"),CONCATENATE("R7C",'Mapa final'!$R$24),"")</f>
        <v/>
      </c>
      <c r="Y62" s="56"/>
      <c r="Z62" s="282"/>
      <c r="AA62" s="283"/>
      <c r="AB62" s="283"/>
      <c r="AC62" s="283"/>
      <c r="AD62" s="283"/>
      <c r="AE62" s="284"/>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row>
    <row r="63" spans="1:61" ht="12" customHeight="1" x14ac:dyDescent="0.35">
      <c r="A63" s="56"/>
      <c r="B63" s="300"/>
      <c r="C63" s="300"/>
      <c r="D63" s="301"/>
      <c r="E63" s="289"/>
      <c r="F63" s="290"/>
      <c r="G63" s="290"/>
      <c r="H63" s="290"/>
      <c r="I63" s="288"/>
      <c r="J63" s="49" t="str">
        <f>IF(AND('Mapa final'!$AB$25="Alta",'Mapa final'!$AD$25="Leve"),CONCATENATE("R8C",'Mapa final'!$R$25),"")</f>
        <v/>
      </c>
      <c r="K63" s="50" t="str">
        <f>IF(AND('Mapa final'!$AB$26="Alta",'Mapa final'!$AD$26="Leve"),CONCATENATE("R8C",'Mapa final'!$R$26),"")</f>
        <v/>
      </c>
      <c r="L63" s="111" t="str">
        <f>IF(AND('Mapa final'!$AB$27="Alta",'Mapa final'!$AD$27="Leve"),CONCATENATE("R8C",'Mapa final'!$R$27),"")</f>
        <v/>
      </c>
      <c r="M63" s="49" t="str">
        <f>IF(AND('Mapa final'!$AB$25="Alta",'Mapa final'!$AD$25="Menor"),CONCATENATE("R8C",'Mapa final'!$R$25),"")</f>
        <v/>
      </c>
      <c r="N63" s="50" t="str">
        <f>IF(AND('Mapa final'!$AB$26="Alta",'Mapa final'!$AD$26="Menor"),CONCATENATE("R8C",'Mapa final'!$R$26),"")</f>
        <v/>
      </c>
      <c r="O63" s="111" t="str">
        <f>IF(AND('Mapa final'!$AB$27="Alta",'Mapa final'!$AD$27="Menor"),CONCATENATE("R8C",'Mapa final'!$R$27),"")</f>
        <v/>
      </c>
      <c r="P63" s="105" t="str">
        <f>IF(AND('Mapa final'!$AB$25="Alta",'Mapa final'!$AD$25="Moderado"),CONCATENATE("R8C",'Mapa final'!$R$25),"")</f>
        <v/>
      </c>
      <c r="Q63" s="42" t="str">
        <f>IF(AND('Mapa final'!$AB$26="Alta",'Mapa final'!$AD$26="Moderado"),CONCATENATE("R8C",'Mapa final'!$R$26),"")</f>
        <v/>
      </c>
      <c r="R63" s="106" t="str">
        <f>IF(AND('Mapa final'!$AB$27="Alta",'Mapa final'!$AD$27="Moderado"),CONCATENATE("R8C",'Mapa final'!$R$27),"")</f>
        <v/>
      </c>
      <c r="S63" s="105" t="str">
        <f>IF(AND('Mapa final'!$AB$25="Alta",'Mapa final'!$AD$25="Mayor"),CONCATENATE("R8C",'Mapa final'!$R$25),"")</f>
        <v/>
      </c>
      <c r="T63" s="42" t="str">
        <f>IF(AND('Mapa final'!$AB$26="Alta",'Mapa final'!$AD$26="Mayor"),CONCATENATE("R8C",'Mapa final'!$R$26),"")</f>
        <v/>
      </c>
      <c r="U63" s="106" t="str">
        <f>IF(AND('Mapa final'!$AB$27="Alta",'Mapa final'!$AD$27="Mayor"),CONCATENATE("R8C",'Mapa final'!$R$27),"")</f>
        <v/>
      </c>
      <c r="V63" s="43" t="str">
        <f>IF(AND('Mapa final'!$AB$25="Alta",'Mapa final'!$AD$25="Catastrófico"),CONCATENATE("R8C",'Mapa final'!$R$25),"")</f>
        <v/>
      </c>
      <c r="W63" s="44" t="str">
        <f>IF(AND('Mapa final'!$AB$26="Alta",'Mapa final'!$AD$26="Catastrófico"),CONCATENATE("R8C",'Mapa final'!$R$26),"")</f>
        <v/>
      </c>
      <c r="X63" s="100" t="str">
        <f>IF(AND('Mapa final'!$AB$27="Alta",'Mapa final'!$AD$27="Catastrófico"),CONCATENATE("R8C",'Mapa final'!$R$27),"")</f>
        <v/>
      </c>
      <c r="Y63" s="56"/>
      <c r="Z63" s="282"/>
      <c r="AA63" s="283"/>
      <c r="AB63" s="283"/>
      <c r="AC63" s="283"/>
      <c r="AD63" s="283"/>
      <c r="AE63" s="284"/>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row>
    <row r="64" spans="1:61" ht="12" customHeight="1" x14ac:dyDescent="0.35">
      <c r="A64" s="56"/>
      <c r="B64" s="300"/>
      <c r="C64" s="300"/>
      <c r="D64" s="301"/>
      <c r="E64" s="289"/>
      <c r="F64" s="290"/>
      <c r="G64" s="290"/>
      <c r="H64" s="290"/>
      <c r="I64" s="288"/>
      <c r="J64" s="49" t="str">
        <f>IF(AND('Mapa final'!$AB$28="Alta",'Mapa final'!$AD$28="Leve"),CONCATENATE("R9C",'Mapa final'!$R$28),"")</f>
        <v/>
      </c>
      <c r="K64" s="50" t="str">
        <f>IF(AND('Mapa final'!$AB$29="Alta",'Mapa final'!$AD$29="Leve"),CONCATENATE("R9C",'Mapa final'!$R$29),"")</f>
        <v/>
      </c>
      <c r="L64" s="111" t="str">
        <f>IF(AND('Mapa final'!$AB$30="Alta",'Mapa final'!$AD$30="Leve"),CONCATENATE("R9C",'Mapa final'!$R$30),"")</f>
        <v/>
      </c>
      <c r="M64" s="49" t="str">
        <f>IF(AND('Mapa final'!$AB$28="Alta",'Mapa final'!$AD$28="Menor"),CONCATENATE("R9C",'Mapa final'!$R$28),"")</f>
        <v/>
      </c>
      <c r="N64" s="50" t="str">
        <f>IF(AND('Mapa final'!$AB$29="Alta",'Mapa final'!$AD$29="Menor"),CONCATENATE("R9C",'Mapa final'!$R$29),"")</f>
        <v/>
      </c>
      <c r="O64" s="111" t="str">
        <f>IF(AND('Mapa final'!$AB$30="Alta",'Mapa final'!$AD$30="Menor"),CONCATENATE("R9C",'Mapa final'!$R$30),"")</f>
        <v/>
      </c>
      <c r="P64" s="105" t="str">
        <f>IF(AND('Mapa final'!$AB$28="Alta",'Mapa final'!$AD$28="Moderado"),CONCATENATE("R9C",'Mapa final'!$R$28),"")</f>
        <v/>
      </c>
      <c r="Q64" s="42" t="str">
        <f>IF(AND('Mapa final'!$AB$29="Alta",'Mapa final'!$AD$29="Moderado"),CONCATENATE("R9C",'Mapa final'!$R$29),"")</f>
        <v/>
      </c>
      <c r="R64" s="106" t="str">
        <f>IF(AND('Mapa final'!$AB$30="Alta",'Mapa final'!$AD$30="Moderado"),CONCATENATE("R9C",'Mapa final'!$R$30),"")</f>
        <v/>
      </c>
      <c r="S64" s="105" t="str">
        <f>IF(AND('Mapa final'!$AB$28="Alta",'Mapa final'!$AD$28="Mayor"),CONCATENATE("R9C",'Mapa final'!$R$28),"")</f>
        <v/>
      </c>
      <c r="T64" s="42" t="str">
        <f>IF(AND('Mapa final'!$AB$29="Alta",'Mapa final'!$AD$29="Mayor"),CONCATENATE("R9C",'Mapa final'!$R$29),"")</f>
        <v/>
      </c>
      <c r="U64" s="106" t="str">
        <f>IF(AND('Mapa final'!$AB$30="Alta",'Mapa final'!$AD$30="Mayor"),CONCATENATE("R9C",'Mapa final'!$R$30),"")</f>
        <v/>
      </c>
      <c r="V64" s="43" t="str">
        <f>IF(AND('Mapa final'!$AB$28="Alta",'Mapa final'!$AD$28="Catastrófico"),CONCATENATE("R9C",'Mapa final'!$R$28),"")</f>
        <v/>
      </c>
      <c r="W64" s="44" t="str">
        <f>IF(AND('Mapa final'!$AB$29="Alta",'Mapa final'!$AD$29="Catastrófico"),CONCATENATE("R9C",'Mapa final'!$R$29),"")</f>
        <v/>
      </c>
      <c r="X64" s="100" t="str">
        <f>IF(AND('Mapa final'!$AB$30="Alta",'Mapa final'!$AD$30="Catastrófico"),CONCATENATE("R9C",'Mapa final'!$R$30),"")</f>
        <v/>
      </c>
      <c r="Y64" s="56"/>
      <c r="Z64" s="282"/>
      <c r="AA64" s="283"/>
      <c r="AB64" s="283"/>
      <c r="AC64" s="283"/>
      <c r="AD64" s="283"/>
      <c r="AE64" s="284"/>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row>
    <row r="65" spans="1:61" ht="12" customHeight="1" x14ac:dyDescent="0.35">
      <c r="A65" s="56"/>
      <c r="B65" s="300"/>
      <c r="C65" s="300"/>
      <c r="D65" s="301"/>
      <c r="E65" s="289"/>
      <c r="F65" s="290"/>
      <c r="G65" s="290"/>
      <c r="H65" s="290"/>
      <c r="I65" s="288"/>
      <c r="J65" s="49" t="str">
        <f>IF(AND('Mapa final'!$AB$31="Alta",'Mapa final'!$AD$31="Leve"),CONCATENATE("R10C",'Mapa final'!$R$31),"")</f>
        <v/>
      </c>
      <c r="K65" s="50" t="str">
        <f>IF(AND('Mapa final'!$AB$32="Alta",'Mapa final'!$AD$32="Leve"),CONCATENATE("R10C",'Mapa final'!$R$32),"")</f>
        <v/>
      </c>
      <c r="L65" s="111" t="str">
        <f>IF(AND('Mapa final'!$AB$33="Alta",'Mapa final'!$AD$33="Leve"),CONCATENATE("R10C",'Mapa final'!$R$33),"")</f>
        <v/>
      </c>
      <c r="M65" s="49" t="str">
        <f>IF(AND('Mapa final'!$AB$31="Alta",'Mapa final'!$AD$31="Menor"),CONCATENATE("R10C",'Mapa final'!$R$31),"")</f>
        <v/>
      </c>
      <c r="N65" s="50" t="str">
        <f>IF(AND('Mapa final'!$AB$32="Alta",'Mapa final'!$AD$32="Menor"),CONCATENATE("R10C",'Mapa final'!$R$32),"")</f>
        <v/>
      </c>
      <c r="O65" s="111" t="str">
        <f>IF(AND('Mapa final'!$AB$33="Alta",'Mapa final'!$AD$33="Menor"),CONCATENATE("R10C",'Mapa final'!$R$33),"")</f>
        <v/>
      </c>
      <c r="P65" s="105" t="str">
        <f>IF(AND('Mapa final'!$AB$31="Alta",'Mapa final'!$AD$31="Moderado"),CONCATENATE("R10C",'Mapa final'!$R$31),"")</f>
        <v/>
      </c>
      <c r="Q65" s="42" t="str">
        <f>IF(AND('Mapa final'!$AB$32="Alta",'Mapa final'!$AD$32="Moderado"),CONCATENATE("R10C",'Mapa final'!$R$32),"")</f>
        <v/>
      </c>
      <c r="R65" s="106" t="str">
        <f>IF(AND('Mapa final'!$AB$33="Alta",'Mapa final'!$AD$33="Moderado"),CONCATENATE("R10C",'Mapa final'!$R$33),"")</f>
        <v/>
      </c>
      <c r="S65" s="105" t="str">
        <f>IF(AND('Mapa final'!$AB$31="Alta",'Mapa final'!$AD$31="Mayor"),CONCATENATE("R10C",'Mapa final'!$R$31),"")</f>
        <v/>
      </c>
      <c r="T65" s="42" t="str">
        <f>IF(AND('Mapa final'!$AB$32="Alta",'Mapa final'!$AD$32="Mayor"),CONCATENATE("R10C",'Mapa final'!$R$32),"")</f>
        <v/>
      </c>
      <c r="U65" s="106" t="str">
        <f>IF(AND('Mapa final'!$AB$33="Alta",'Mapa final'!$AD$33="Mayor"),CONCATENATE("R10C",'Mapa final'!$R$33),"")</f>
        <v/>
      </c>
      <c r="V65" s="43" t="str">
        <f>IF(AND('Mapa final'!$AB$31="Alta",'Mapa final'!$AD$31="Catastrófico"),CONCATENATE("R10C",'Mapa final'!$R$31),"")</f>
        <v/>
      </c>
      <c r="W65" s="44" t="str">
        <f>IF(AND('Mapa final'!$AB$32="Alta",'Mapa final'!$AD$32="Catastrófico"),CONCATENATE("R10C",'Mapa final'!$R$32),"")</f>
        <v/>
      </c>
      <c r="X65" s="100" t="str">
        <f>IF(AND('Mapa final'!$AB$33="Alta",'Mapa final'!$AD$33="Catastrófico"),CONCATENATE("R10C",'Mapa final'!$R$33),"")</f>
        <v/>
      </c>
      <c r="Y65" s="56"/>
      <c r="Z65" s="282"/>
      <c r="AA65" s="283"/>
      <c r="AB65" s="283"/>
      <c r="AC65" s="283"/>
      <c r="AD65" s="283"/>
      <c r="AE65" s="284"/>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row>
    <row r="66" spans="1:61" ht="12" customHeight="1" x14ac:dyDescent="0.35">
      <c r="A66" s="56"/>
      <c r="B66" s="300"/>
      <c r="C66" s="300"/>
      <c r="D66" s="301"/>
      <c r="E66" s="289"/>
      <c r="F66" s="290"/>
      <c r="G66" s="290"/>
      <c r="H66" s="290"/>
      <c r="I66" s="288"/>
      <c r="J66" s="49" t="str">
        <f>IF(AND('Mapa final'!$AB$34="Alta",'Mapa final'!$AD$34="Leve"),CONCATENATE("R11C",'Mapa final'!$R$34),"")</f>
        <v/>
      </c>
      <c r="K66" s="50" t="str">
        <f>IF(AND('Mapa final'!$AB$35="Alta",'Mapa final'!$AD$35="Leve"),CONCATENATE("R11C",'Mapa final'!$R$35),"")</f>
        <v/>
      </c>
      <c r="L66" s="111" t="str">
        <f>IF(AND('Mapa final'!$AB$36="Alta",'Mapa final'!$AD$36="Leve"),CONCATENATE("R11C",'Mapa final'!$R$36),"")</f>
        <v/>
      </c>
      <c r="M66" s="49" t="str">
        <f>IF(AND('Mapa final'!$AB$34="Alta",'Mapa final'!$AD$34="Menor"),CONCATENATE("R11C",'Mapa final'!$R$34),"")</f>
        <v/>
      </c>
      <c r="N66" s="50" t="str">
        <f>IF(AND('Mapa final'!$AB$35="Alta",'Mapa final'!$AD$35="Menor"),CONCATENATE("R11C",'Mapa final'!$R$35),"")</f>
        <v/>
      </c>
      <c r="O66" s="111" t="str">
        <f>IF(AND('Mapa final'!$AB$36="Alta",'Mapa final'!$AD$36="Menor"),CONCATENATE("R11C",'Mapa final'!$R$36),"")</f>
        <v/>
      </c>
      <c r="P66" s="105" t="str">
        <f>IF(AND('Mapa final'!$AB$34="Alta",'Mapa final'!$AD$34="Moderado"),CONCATENATE("R11C",'Mapa final'!$R$34),"")</f>
        <v/>
      </c>
      <c r="Q66" s="42" t="str">
        <f>IF(AND('Mapa final'!$AB$35="Alta",'Mapa final'!$AD$35="Moderado"),CONCATENATE("R11C",'Mapa final'!$R$35),"")</f>
        <v/>
      </c>
      <c r="R66" s="106" t="str">
        <f>IF(AND('Mapa final'!$AB$36="Alta",'Mapa final'!$AD$36="Moderado"),CONCATENATE("R11C",'Mapa final'!$R$36),"")</f>
        <v/>
      </c>
      <c r="S66" s="105" t="str">
        <f>IF(AND('Mapa final'!$AB$34="Alta",'Mapa final'!$AD$34="Mayor"),CONCATENATE("R11C",'Mapa final'!$R$34),"")</f>
        <v/>
      </c>
      <c r="T66" s="42" t="str">
        <f>IF(AND('Mapa final'!$AB$35="Alta",'Mapa final'!$AD$35="Mayor"),CONCATENATE("R11C",'Mapa final'!$R$35),"")</f>
        <v/>
      </c>
      <c r="U66" s="106" t="str">
        <f>IF(AND('Mapa final'!$AB$36="Alta",'Mapa final'!$AD$36="Mayor"),CONCATENATE("R11C",'Mapa final'!$R$36),"")</f>
        <v/>
      </c>
      <c r="V66" s="43" t="str">
        <f>IF(AND('Mapa final'!$AB$34="Alta",'Mapa final'!$AD$34="Catastrófico"),CONCATENATE("R11C",'Mapa final'!$R$34),"")</f>
        <v/>
      </c>
      <c r="W66" s="44" t="str">
        <f>IF(AND('Mapa final'!$AB$35="Alta",'Mapa final'!$AD$35="Catastrófico"),CONCATENATE("R11C",'Mapa final'!$R$35),"")</f>
        <v/>
      </c>
      <c r="X66" s="100" t="str">
        <f>IF(AND('Mapa final'!$AB$36="Alta",'Mapa final'!$AD$36="Catastrófico"),CONCATENATE("R11C",'Mapa final'!$R$36),"")</f>
        <v/>
      </c>
      <c r="Y66" s="56"/>
      <c r="Z66" s="282"/>
      <c r="AA66" s="283"/>
      <c r="AB66" s="283"/>
      <c r="AC66" s="283"/>
      <c r="AD66" s="283"/>
      <c r="AE66" s="284"/>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row>
    <row r="67" spans="1:61" ht="12" customHeight="1" x14ac:dyDescent="0.35">
      <c r="A67" s="56"/>
      <c r="B67" s="300"/>
      <c r="C67" s="300"/>
      <c r="D67" s="301"/>
      <c r="E67" s="289"/>
      <c r="F67" s="290"/>
      <c r="G67" s="290"/>
      <c r="H67" s="290"/>
      <c r="I67" s="288"/>
      <c r="J67" s="49" t="str">
        <f>IF(AND('Mapa final'!$AB$37="Alta",'Mapa final'!$AD$37="Leve"),CONCATENATE("R12C",'Mapa final'!$R$37),"")</f>
        <v/>
      </c>
      <c r="K67" s="50" t="str">
        <f>IF(AND('Mapa final'!$AB$38="Alta",'Mapa final'!$AD$38="Leve"),CONCATENATE("R12C",'Mapa final'!$R$38),"")</f>
        <v/>
      </c>
      <c r="L67" s="111" t="str">
        <f>IF(AND('Mapa final'!$AB$39="Alta",'Mapa final'!$AD$39="Leve"),CONCATENATE("R12C",'Mapa final'!$R$39),"")</f>
        <v/>
      </c>
      <c r="M67" s="49" t="str">
        <f>IF(AND('Mapa final'!$AB$37="Alta",'Mapa final'!$AD$37="Menor"),CONCATENATE("R12C",'Mapa final'!$R$37),"")</f>
        <v/>
      </c>
      <c r="N67" s="50" t="str">
        <f>IF(AND('Mapa final'!$AB$38="Alta",'Mapa final'!$AD$38="Menor"),CONCATENATE("R12C",'Mapa final'!$R$38),"")</f>
        <v/>
      </c>
      <c r="O67" s="111" t="str">
        <f>IF(AND('Mapa final'!$AB$39="Alta",'Mapa final'!$AD$39="Menor"),CONCATENATE("R12C",'Mapa final'!$R$39),"")</f>
        <v/>
      </c>
      <c r="P67" s="105" t="str">
        <f>IF(AND('Mapa final'!$AB$37="Alta",'Mapa final'!$AD$37="Moderado"),CONCATENATE("R12C",'Mapa final'!$R$37),"")</f>
        <v/>
      </c>
      <c r="Q67" s="42" t="str">
        <f>IF(AND('Mapa final'!$AB$38="Alta",'Mapa final'!$AD$38="Moderado"),CONCATENATE("R12C",'Mapa final'!$R$38),"")</f>
        <v/>
      </c>
      <c r="R67" s="106" t="str">
        <f>IF(AND('Mapa final'!$AB$39="Alta",'Mapa final'!$AD$39="Moderado"),CONCATENATE("R12C",'Mapa final'!$R$39),"")</f>
        <v/>
      </c>
      <c r="S67" s="105" t="str">
        <f>IF(AND('Mapa final'!$AB$37="Alta",'Mapa final'!$AD$37="Mayor"),CONCATENATE("R12C",'Mapa final'!$R$37),"")</f>
        <v/>
      </c>
      <c r="T67" s="42" t="str">
        <f>IF(AND('Mapa final'!$AB$38="Alta",'Mapa final'!$AD$38="Mayor"),CONCATENATE("R12C",'Mapa final'!$R$38),"")</f>
        <v/>
      </c>
      <c r="U67" s="106" t="str">
        <f>IF(AND('Mapa final'!$AB$39="Alta",'Mapa final'!$AD$39="Mayor"),CONCATENATE("R12C",'Mapa final'!$R$39),"")</f>
        <v/>
      </c>
      <c r="V67" s="43" t="str">
        <f>IF(AND('Mapa final'!$AB$37="Alta",'Mapa final'!$AD$37="Catastrófico"),CONCATENATE("R12C",'Mapa final'!$R$37),"")</f>
        <v/>
      </c>
      <c r="W67" s="44" t="str">
        <f>IF(AND('Mapa final'!$AB$38="Alta",'Mapa final'!$AD$38="Catastrófico"),CONCATENATE("R12C",'Mapa final'!$R$38),"")</f>
        <v/>
      </c>
      <c r="X67" s="100" t="str">
        <f>IF(AND('Mapa final'!$AB$39="Alta",'Mapa final'!$AD$39="Catastrófico"),CONCATENATE("R12C",'Mapa final'!$R$39),"")</f>
        <v/>
      </c>
      <c r="Y67" s="56"/>
      <c r="Z67" s="282"/>
      <c r="AA67" s="283"/>
      <c r="AB67" s="283"/>
      <c r="AC67" s="283"/>
      <c r="AD67" s="283"/>
      <c r="AE67" s="284"/>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row>
    <row r="68" spans="1:61" ht="12" customHeight="1" x14ac:dyDescent="0.35">
      <c r="A68" s="56"/>
      <c r="B68" s="300"/>
      <c r="C68" s="300"/>
      <c r="D68" s="301"/>
      <c r="E68" s="289"/>
      <c r="F68" s="290"/>
      <c r="G68" s="290"/>
      <c r="H68" s="290"/>
      <c r="I68" s="288"/>
      <c r="J68" s="49" t="str">
        <f>IF(AND('Mapa final'!$AB$40="Alta",'Mapa final'!$AD$40="Leve"),CONCATENATE("R13C",'Mapa final'!$R$40),"")</f>
        <v/>
      </c>
      <c r="K68" s="50" t="str">
        <f>IF(AND('Mapa final'!$AB$41="Alta",'Mapa final'!$AD$41="Leve"),CONCATENATE("R13C",'Mapa final'!$R$41),"")</f>
        <v/>
      </c>
      <c r="L68" s="111" t="str">
        <f>IF(AND('Mapa final'!$AB$42="Alta",'Mapa final'!$AD$42="Leve"),CONCATENATE("R13C",'Mapa final'!$R$42),"")</f>
        <v/>
      </c>
      <c r="M68" s="49" t="str">
        <f>IF(AND('Mapa final'!$AB$40="Alta",'Mapa final'!$AD$40="Menor"),CONCATENATE("R13C",'Mapa final'!$R$40),"")</f>
        <v/>
      </c>
      <c r="N68" s="50" t="str">
        <f>IF(AND('Mapa final'!$AB$41="Alta",'Mapa final'!$AD$41="Menor"),CONCATENATE("R13C",'Mapa final'!$R$41),"")</f>
        <v/>
      </c>
      <c r="O68" s="111" t="str">
        <f>IF(AND('Mapa final'!$AB$42="Alta",'Mapa final'!$AD$42="Menor"),CONCATENATE("R13C",'Mapa final'!$R$42),"")</f>
        <v/>
      </c>
      <c r="P68" s="105" t="str">
        <f>IF(AND('Mapa final'!$AB$40="Alta",'Mapa final'!$AD$40="Moderado"),CONCATENATE("R13C",'Mapa final'!$R$40),"")</f>
        <v/>
      </c>
      <c r="Q68" s="42" t="str">
        <f>IF(AND('Mapa final'!$AB$41="Alta",'Mapa final'!$AD$41="Moderado"),CONCATENATE("R13C",'Mapa final'!$R$41),"")</f>
        <v/>
      </c>
      <c r="R68" s="106" t="str">
        <f>IF(AND('Mapa final'!$AB$42="Alta",'Mapa final'!$AD$42="Moderado"),CONCATENATE("R13C",'Mapa final'!$R$42),"")</f>
        <v/>
      </c>
      <c r="S68" s="105" t="str">
        <f>IF(AND('Mapa final'!$AB$40="Alta",'Mapa final'!$AD$40="Mayor"),CONCATENATE("R13C",'Mapa final'!$R$40),"")</f>
        <v/>
      </c>
      <c r="T68" s="42" t="str">
        <f>IF(AND('Mapa final'!$AB$41="Alta",'Mapa final'!$AD$41="Mayor"),CONCATENATE("R13C",'Mapa final'!$R$41),"")</f>
        <v/>
      </c>
      <c r="U68" s="106" t="str">
        <f>IF(AND('Mapa final'!$AB$42="Alta",'Mapa final'!$AD$42="Mayor"),CONCATENATE("R13C",'Mapa final'!$R$42),"")</f>
        <v/>
      </c>
      <c r="V68" s="43" t="str">
        <f>IF(AND('Mapa final'!$AB$40="Alta",'Mapa final'!$AD$40="Catastrófico"),CONCATENATE("R13C",'Mapa final'!$R$40),"")</f>
        <v/>
      </c>
      <c r="W68" s="44" t="str">
        <f>IF(AND('Mapa final'!$AB$41="Alta",'Mapa final'!$AD$41="Catastrófico"),CONCATENATE("R13C",'Mapa final'!$R$41),"")</f>
        <v/>
      </c>
      <c r="X68" s="100" t="str">
        <f>IF(AND('Mapa final'!$AB$42="Alta",'Mapa final'!$AD$42="Catastrófico"),CONCATENATE("R13C",'Mapa final'!$R$42),"")</f>
        <v/>
      </c>
      <c r="Y68" s="56"/>
      <c r="Z68" s="282"/>
      <c r="AA68" s="283"/>
      <c r="AB68" s="283"/>
      <c r="AC68" s="283"/>
      <c r="AD68" s="283"/>
      <c r="AE68" s="284"/>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row>
    <row r="69" spans="1:61" ht="12" customHeight="1" x14ac:dyDescent="0.35">
      <c r="A69" s="56"/>
      <c r="B69" s="300"/>
      <c r="C69" s="300"/>
      <c r="D69" s="301"/>
      <c r="E69" s="289"/>
      <c r="F69" s="290"/>
      <c r="G69" s="290"/>
      <c r="H69" s="290"/>
      <c r="I69" s="288"/>
      <c r="J69" s="49" t="str">
        <f>IF(AND('Mapa final'!$AB$43="Alta",'Mapa final'!$AD$43="Leve"),CONCATENATE("R14C",'Mapa final'!$R$43),"")</f>
        <v/>
      </c>
      <c r="K69" s="50" t="str">
        <f>IF(AND('Mapa final'!$AB$44="Alta",'Mapa final'!$AD$44="Leve"),CONCATENATE("R14C",'Mapa final'!$R$44),"")</f>
        <v/>
      </c>
      <c r="L69" s="111" t="str">
        <f>IF(AND('Mapa final'!$AB$45="Alta",'Mapa final'!$AD$45="Leve"),CONCATENATE("R14C",'Mapa final'!$R$45),"")</f>
        <v/>
      </c>
      <c r="M69" s="49" t="str">
        <f>IF(AND('Mapa final'!$AB$43="Alta",'Mapa final'!$AD$43="Menor"),CONCATENATE("R14C",'Mapa final'!$R$43),"")</f>
        <v/>
      </c>
      <c r="N69" s="50" t="str">
        <f>IF(AND('Mapa final'!$AB$44="Alta",'Mapa final'!$AD$44="Menor"),CONCATENATE("R14C",'Mapa final'!$R$44),"")</f>
        <v/>
      </c>
      <c r="O69" s="111" t="str">
        <f>IF(AND('Mapa final'!$AB$45="Alta",'Mapa final'!$AD$45="Menor"),CONCATENATE("R14C",'Mapa final'!$R$45),"")</f>
        <v/>
      </c>
      <c r="P69" s="105" t="str">
        <f>IF(AND('Mapa final'!$AB$43="Alta",'Mapa final'!$AD$43="Moderado"),CONCATENATE("R14C",'Mapa final'!$R$43),"")</f>
        <v/>
      </c>
      <c r="Q69" s="42" t="str">
        <f>IF(AND('Mapa final'!$AB$44="Alta",'Mapa final'!$AD$44="Moderado"),CONCATENATE("R14C",'Mapa final'!$R$44),"")</f>
        <v/>
      </c>
      <c r="R69" s="106" t="str">
        <f>IF(AND('Mapa final'!$AB$45="Alta",'Mapa final'!$AD$45="Moderado"),CONCATENATE("R14C",'Mapa final'!$R$45),"")</f>
        <v/>
      </c>
      <c r="S69" s="105" t="str">
        <f>IF(AND('Mapa final'!$AB$43="Alta",'Mapa final'!$AD$43="Mayor"),CONCATENATE("R14C",'Mapa final'!$R$43),"")</f>
        <v/>
      </c>
      <c r="T69" s="42" t="str">
        <f>IF(AND('Mapa final'!$AB$44="Alta",'Mapa final'!$AD$44="Mayor"),CONCATENATE("R14C",'Mapa final'!$R$44),"")</f>
        <v/>
      </c>
      <c r="U69" s="106" t="str">
        <f>IF(AND('Mapa final'!$AB$45="Alta",'Mapa final'!$AD$45="Mayor"),CONCATENATE("R14C",'Mapa final'!$R$45),"")</f>
        <v/>
      </c>
      <c r="V69" s="43" t="str">
        <f>IF(AND('Mapa final'!$AB$43="Alta",'Mapa final'!$AD$43="Catastrófico"),CONCATENATE("R14C",'Mapa final'!$R$43),"")</f>
        <v/>
      </c>
      <c r="W69" s="44" t="str">
        <f>IF(AND('Mapa final'!$AB$44="Alta",'Mapa final'!$AD$44="Catastrófico"),CONCATENATE("R14C",'Mapa final'!$R$44),"")</f>
        <v/>
      </c>
      <c r="X69" s="100" t="str">
        <f>IF(AND('Mapa final'!$AB$45="Alta",'Mapa final'!$AD$45="Catastrófico"),CONCATENATE("R14C",'Mapa final'!$R$45),"")</f>
        <v/>
      </c>
      <c r="Y69" s="56"/>
      <c r="Z69" s="282"/>
      <c r="AA69" s="283"/>
      <c r="AB69" s="283"/>
      <c r="AC69" s="283"/>
      <c r="AD69" s="283"/>
      <c r="AE69" s="284"/>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row>
    <row r="70" spans="1:61" ht="15" customHeight="1" x14ac:dyDescent="0.35">
      <c r="A70" s="56"/>
      <c r="B70" s="300"/>
      <c r="C70" s="300"/>
      <c r="D70" s="301"/>
      <c r="E70" s="289"/>
      <c r="F70" s="290"/>
      <c r="G70" s="290"/>
      <c r="H70" s="290"/>
      <c r="I70" s="288"/>
      <c r="J70" s="49" t="str">
        <f>IF(AND('Mapa final'!$AB$46="Alta",'Mapa final'!$AD$46="Leve"),CONCATENATE("R15C",'Mapa final'!$R$46),"")</f>
        <v/>
      </c>
      <c r="K70" s="50" t="str">
        <f>IF(AND('Mapa final'!$AB$47="Alta",'Mapa final'!$AD$47="Leve"),CONCATENATE("R15C",'Mapa final'!$R$47),"")</f>
        <v/>
      </c>
      <c r="L70" s="111" t="str">
        <f>IF(AND('Mapa final'!$AB$48="Alta",'Mapa final'!$AD$48="Leve"),CONCATENATE("R15C",'Mapa final'!$R$48),"")</f>
        <v/>
      </c>
      <c r="M70" s="49" t="str">
        <f>IF(AND('Mapa final'!$AB$46="Alta",'Mapa final'!$AD$46="Menor"),CONCATENATE("R15C",'Mapa final'!$R$46),"")</f>
        <v/>
      </c>
      <c r="N70" s="50" t="str">
        <f>IF(AND('Mapa final'!$AB$47="Alta",'Mapa final'!$AD$47="Menor"),CONCATENATE("R15C",'Mapa final'!$R$47),"")</f>
        <v/>
      </c>
      <c r="O70" s="111" t="str">
        <f>IF(AND('Mapa final'!$AB$48="Alta",'Mapa final'!$AD$48="Menor"),CONCATENATE("R15C",'Mapa final'!$R$48),"")</f>
        <v/>
      </c>
      <c r="P70" s="105" t="str">
        <f>IF(AND('Mapa final'!$AB$46="Alta",'Mapa final'!$AD$46="Moderado"),CONCATENATE("R15C",'Mapa final'!$R$46),"")</f>
        <v/>
      </c>
      <c r="Q70" s="42" t="str">
        <f>IF(AND('Mapa final'!$AB$47="Alta",'Mapa final'!$AD$47="Moderado"),CONCATENATE("R15C",'Mapa final'!$R$47),"")</f>
        <v/>
      </c>
      <c r="R70" s="106" t="str">
        <f>IF(AND('Mapa final'!$AB$48="Alta",'Mapa final'!$AD$48="Moderado"),CONCATENATE("R15C",'Mapa final'!$R$48),"")</f>
        <v/>
      </c>
      <c r="S70" s="105" t="str">
        <f>IF(AND('Mapa final'!$AB$46="Alta",'Mapa final'!$AD$46="Mayor"),CONCATENATE("R15C",'Mapa final'!$R$46),"")</f>
        <v/>
      </c>
      <c r="T70" s="42" t="str">
        <f>IF(AND('Mapa final'!$AB$47="Alta",'Mapa final'!$AD$47="Mayor"),CONCATENATE("R15C",'Mapa final'!$R$47),"")</f>
        <v/>
      </c>
      <c r="U70" s="106" t="str">
        <f>IF(AND('Mapa final'!$AB$48="Alta",'Mapa final'!$AD$48="Mayor"),CONCATENATE("R15C",'Mapa final'!$R$48),"")</f>
        <v/>
      </c>
      <c r="V70" s="43" t="str">
        <f>IF(AND('Mapa final'!$AB$46="Alta",'Mapa final'!$AD$46="Catastrófico"),CONCATENATE("R15C",'Mapa final'!$R$46),"")</f>
        <v/>
      </c>
      <c r="W70" s="44" t="str">
        <f>IF(AND('Mapa final'!$AB$47="Alta",'Mapa final'!$AD$47="Catastrófico"),CONCATENATE("R15C",'Mapa final'!$R$47),"")</f>
        <v/>
      </c>
      <c r="X70" s="100" t="str">
        <f>IF(AND('Mapa final'!$AB$48="Alta",'Mapa final'!$AD$48="Catastrófico"),CONCATENATE("R15C",'Mapa final'!$R$48),"")</f>
        <v/>
      </c>
      <c r="Y70" s="56"/>
      <c r="Z70" s="282"/>
      <c r="AA70" s="283"/>
      <c r="AB70" s="283"/>
      <c r="AC70" s="283"/>
      <c r="AD70" s="283"/>
      <c r="AE70" s="284"/>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row>
    <row r="71" spans="1:61" ht="15" customHeight="1" x14ac:dyDescent="0.35">
      <c r="A71" s="56"/>
      <c r="B71" s="300"/>
      <c r="C71" s="300"/>
      <c r="D71" s="301"/>
      <c r="E71" s="289"/>
      <c r="F71" s="290"/>
      <c r="G71" s="290"/>
      <c r="H71" s="290"/>
      <c r="I71" s="288"/>
      <c r="J71" s="49" t="str">
        <f>IF(AND('Mapa final'!$AB$49="Alta",'Mapa final'!$AD$49="Leve"),CONCATENATE("R16C",'Mapa final'!$R$49),"")</f>
        <v/>
      </c>
      <c r="K71" s="50" t="str">
        <f>IF(AND('Mapa final'!$AB$50="Alta",'Mapa final'!$AD$50="Leve"),CONCATENATE("R16C",'Mapa final'!$R$50),"")</f>
        <v/>
      </c>
      <c r="L71" s="111" t="str">
        <f>IF(AND('Mapa final'!$AB$51="Alta",'Mapa final'!$AD$51="Leve"),CONCATENATE("R16C",'Mapa final'!$R$51),"")</f>
        <v/>
      </c>
      <c r="M71" s="49" t="str">
        <f>IF(AND('Mapa final'!$AB$49="Alta",'Mapa final'!$AD$49="Menor"),CONCATENATE("R16C",'Mapa final'!$R$49),"")</f>
        <v/>
      </c>
      <c r="N71" s="50" t="str">
        <f>IF(AND('Mapa final'!$AB$50="Alta",'Mapa final'!$AD$50="Menor"),CONCATENATE("R16C",'Mapa final'!$R$50),"")</f>
        <v/>
      </c>
      <c r="O71" s="111" t="str">
        <f>IF(AND('Mapa final'!$AB$51="Alta",'Mapa final'!$AD$51="Menor"),CONCATENATE("R16C",'Mapa final'!$R$51),"")</f>
        <v/>
      </c>
      <c r="P71" s="105" t="str">
        <f>IF(AND('Mapa final'!$AB$49="Alta",'Mapa final'!$AD$49="Moderado"),CONCATENATE("R16C",'Mapa final'!$R$49),"")</f>
        <v/>
      </c>
      <c r="Q71" s="42" t="str">
        <f>IF(AND('Mapa final'!$AB$50="Alta",'Mapa final'!$AD$50="Moderado"),CONCATENATE("R16C",'Mapa final'!$R$50),"")</f>
        <v/>
      </c>
      <c r="R71" s="106" t="str">
        <f>IF(AND('Mapa final'!$AB$51="Alta",'Mapa final'!$AD$51="Moderado"),CONCATENATE("R16C",'Mapa final'!$R$51),"")</f>
        <v/>
      </c>
      <c r="S71" s="105" t="str">
        <f>IF(AND('Mapa final'!$AB$49="Alta",'Mapa final'!$AD$49="Mayor"),CONCATENATE("R16C",'Mapa final'!$R$49),"")</f>
        <v/>
      </c>
      <c r="T71" s="42" t="str">
        <f>IF(AND('Mapa final'!$AB$50="Alta",'Mapa final'!$AD$50="Mayor"),CONCATENATE("R16C",'Mapa final'!$R$50),"")</f>
        <v/>
      </c>
      <c r="U71" s="106" t="str">
        <f>IF(AND('Mapa final'!$AB$51="Alta",'Mapa final'!$AD$51="Mayor"),CONCATENATE("R16C",'Mapa final'!$R$51),"")</f>
        <v/>
      </c>
      <c r="V71" s="43" t="str">
        <f>IF(AND('Mapa final'!$AB$49="Alta",'Mapa final'!$AD$49="Catastrófico"),CONCATENATE("R16C",'Mapa final'!$R$49),"")</f>
        <v/>
      </c>
      <c r="W71" s="44" t="str">
        <f>IF(AND('Mapa final'!$AB$50="Alta",'Mapa final'!$AD$50="Catastrófico"),CONCATENATE("R16C",'Mapa final'!$R$50),"")</f>
        <v/>
      </c>
      <c r="X71" s="100" t="str">
        <f>IF(AND('Mapa final'!$AB$51="Alta",'Mapa final'!$AD$51="Catastrófico"),CONCATENATE("R16C",'Mapa final'!$R$51),"")</f>
        <v/>
      </c>
      <c r="Y71" s="56"/>
      <c r="Z71" s="282"/>
      <c r="AA71" s="283"/>
      <c r="AB71" s="283"/>
      <c r="AC71" s="283"/>
      <c r="AD71" s="283"/>
      <c r="AE71" s="284"/>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row>
    <row r="72" spans="1:61" ht="15" customHeight="1" x14ac:dyDescent="0.35">
      <c r="A72" s="56"/>
      <c r="B72" s="300"/>
      <c r="C72" s="300"/>
      <c r="D72" s="301"/>
      <c r="E72" s="289"/>
      <c r="F72" s="290"/>
      <c r="G72" s="290"/>
      <c r="H72" s="290"/>
      <c r="I72" s="288"/>
      <c r="J72" s="49" t="str">
        <f>IF(AND('Mapa final'!$AB$52="Alta",'Mapa final'!$AD$52="Leve"),CONCATENATE("R17C",'Mapa final'!$R$52),"")</f>
        <v/>
      </c>
      <c r="K72" s="50" t="str">
        <f>IF(AND('Mapa final'!$AB$53="Alta",'Mapa final'!$AD$53="Leve"),CONCATENATE("R17C",'Mapa final'!$R$53),"")</f>
        <v/>
      </c>
      <c r="L72" s="111" t="str">
        <f>IF(AND('Mapa final'!$AB$54="Alta",'Mapa final'!$AD$54="Leve"),CONCATENATE("R17C",'Mapa final'!$R$54),"")</f>
        <v/>
      </c>
      <c r="M72" s="49" t="str">
        <f>IF(AND('Mapa final'!$AB$52="Alta",'Mapa final'!$AD$52="Menor"),CONCATENATE("R17C",'Mapa final'!$R$52),"")</f>
        <v/>
      </c>
      <c r="N72" s="50" t="str">
        <f>IF(AND('Mapa final'!$AB$53="Alta",'Mapa final'!$AD$53="Menor"),CONCATENATE("R17C",'Mapa final'!$R$53),"")</f>
        <v/>
      </c>
      <c r="O72" s="111" t="str">
        <f>IF(AND('Mapa final'!$AB$54="Alta",'Mapa final'!$AD$54="Menor"),CONCATENATE("R17C",'Mapa final'!$R$54),"")</f>
        <v/>
      </c>
      <c r="P72" s="105" t="str">
        <f>IF(AND('Mapa final'!$AB$52="Alta",'Mapa final'!$AD$52="Moderado"),CONCATENATE("R17C",'Mapa final'!$R$52),"")</f>
        <v/>
      </c>
      <c r="Q72" s="42" t="str">
        <f>IF(AND('Mapa final'!$AB$53="Alta",'Mapa final'!$AD$53="Moderado"),CONCATENATE("R17C",'Mapa final'!$R$53),"")</f>
        <v/>
      </c>
      <c r="R72" s="106" t="str">
        <f>IF(AND('Mapa final'!$AB$54="Alta",'Mapa final'!$AD$54="Moderado"),CONCATENATE("R17C",'Mapa final'!$R$54),"")</f>
        <v/>
      </c>
      <c r="S72" s="105" t="str">
        <f>IF(AND('Mapa final'!$AB$52="Alta",'Mapa final'!$AD$52="Mayor"),CONCATENATE("R17C",'Mapa final'!$R$52),"")</f>
        <v/>
      </c>
      <c r="T72" s="42" t="str">
        <f>IF(AND('Mapa final'!$AB$53="Alta",'Mapa final'!$AD$53="Mayor"),CONCATENATE("R17C",'Mapa final'!$R$53),"")</f>
        <v/>
      </c>
      <c r="U72" s="106" t="str">
        <f>IF(AND('Mapa final'!$AB$54="Alta",'Mapa final'!$AD$54="Mayor"),CONCATENATE("R17C",'Mapa final'!$R$54),"")</f>
        <v/>
      </c>
      <c r="V72" s="43" t="str">
        <f>IF(AND('Mapa final'!$AB$52="Alta",'Mapa final'!$AD$52="Catastrófico"),CONCATENATE("R17C",'Mapa final'!$R$52),"")</f>
        <v/>
      </c>
      <c r="W72" s="44" t="str">
        <f>IF(AND('Mapa final'!$AB$53="Alta",'Mapa final'!$AD$53="Catastrófico"),CONCATENATE("R17C",'Mapa final'!$R$53),"")</f>
        <v/>
      </c>
      <c r="X72" s="100" t="str">
        <f>IF(AND('Mapa final'!$AB$54="Alta",'Mapa final'!$AD$54="Catastrófico"),CONCATENATE("R17C",'Mapa final'!$R$54),"")</f>
        <v/>
      </c>
      <c r="Y72" s="56"/>
      <c r="Z72" s="282"/>
      <c r="AA72" s="283"/>
      <c r="AB72" s="283"/>
      <c r="AC72" s="283"/>
      <c r="AD72" s="283"/>
      <c r="AE72" s="284"/>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row>
    <row r="73" spans="1:61" ht="15" customHeight="1" x14ac:dyDescent="0.35">
      <c r="A73" s="56"/>
      <c r="B73" s="300"/>
      <c r="C73" s="300"/>
      <c r="D73" s="301"/>
      <c r="E73" s="289"/>
      <c r="F73" s="290"/>
      <c r="G73" s="290"/>
      <c r="H73" s="290"/>
      <c r="I73" s="288"/>
      <c r="J73" s="49" t="str">
        <f>IF(AND('Mapa final'!$AB$55="Alta",'Mapa final'!$AD$55="Leve"),CONCATENATE("R18C",'Mapa final'!$R$55),"")</f>
        <v/>
      </c>
      <c r="K73" s="50" t="str">
        <f>IF(AND('Mapa final'!$AB$56="Alta",'Mapa final'!$AD$56="Leve"),CONCATENATE("R18C",'Mapa final'!$R$56),"")</f>
        <v/>
      </c>
      <c r="L73" s="111" t="str">
        <f>IF(AND('Mapa final'!$AB$57="Alta",'Mapa final'!$AD$57="Leve"),CONCATENATE("R18C",'Mapa final'!$R$57),"")</f>
        <v/>
      </c>
      <c r="M73" s="49" t="str">
        <f>IF(AND('Mapa final'!$AB$55="Alta",'Mapa final'!$AD$55="Menor"),CONCATENATE("R18C",'Mapa final'!$R$55),"")</f>
        <v/>
      </c>
      <c r="N73" s="50" t="str">
        <f>IF(AND('Mapa final'!$AB$56="Alta",'Mapa final'!$AD$56="Menor"),CONCATENATE("R18C",'Mapa final'!$R$56),"")</f>
        <v/>
      </c>
      <c r="O73" s="111" t="str">
        <f>IF(AND('Mapa final'!$AB$57="Alta",'Mapa final'!$AD$57="Menor"),CONCATENATE("R18C",'Mapa final'!$R$57),"")</f>
        <v/>
      </c>
      <c r="P73" s="105" t="str">
        <f>IF(AND('Mapa final'!$AB$55="Alta",'Mapa final'!$AD$55="Moderado"),CONCATENATE("R18C",'Mapa final'!$R$55),"")</f>
        <v/>
      </c>
      <c r="Q73" s="42" t="str">
        <f>IF(AND('Mapa final'!$AB$56="Alta",'Mapa final'!$AD$56="Moderado"),CONCATENATE("R18C",'Mapa final'!$R$56),"")</f>
        <v/>
      </c>
      <c r="R73" s="106" t="str">
        <f>IF(AND('Mapa final'!$AB$57="Alta",'Mapa final'!$AD$57="Moderado"),CONCATENATE("R18C",'Mapa final'!$R$57),"")</f>
        <v/>
      </c>
      <c r="S73" s="105" t="str">
        <f>IF(AND('Mapa final'!$AB$55="Alta",'Mapa final'!$AD$55="Mayor"),CONCATENATE("R18C",'Mapa final'!$R$55),"")</f>
        <v/>
      </c>
      <c r="T73" s="42" t="str">
        <f>IF(AND('Mapa final'!$AB$56="Alta",'Mapa final'!$AD$56="Mayor"),CONCATENATE("R18C",'Mapa final'!$R$56),"")</f>
        <v/>
      </c>
      <c r="U73" s="106" t="str">
        <f>IF(AND('Mapa final'!$AB$57="Alta",'Mapa final'!$AD$57="Mayor"),CONCATENATE("R18C",'Mapa final'!$R$57),"")</f>
        <v/>
      </c>
      <c r="V73" s="43" t="str">
        <f>IF(AND('Mapa final'!$AB$55="Alta",'Mapa final'!$AD$55="Catastrófico"),CONCATENATE("R18C",'Mapa final'!$R$55),"")</f>
        <v/>
      </c>
      <c r="W73" s="44" t="str">
        <f>IF(AND('Mapa final'!$AB$56="Alta",'Mapa final'!$AD$56="Catastrófico"),CONCATENATE("R18C",'Mapa final'!$R$56),"")</f>
        <v/>
      </c>
      <c r="X73" s="100" t="str">
        <f>IF(AND('Mapa final'!$AB$57="Alta",'Mapa final'!$AD$57="Catastrófico"),CONCATENATE("R18C",'Mapa final'!$R$57),"")</f>
        <v/>
      </c>
      <c r="Y73" s="56"/>
      <c r="Z73" s="282"/>
      <c r="AA73" s="283"/>
      <c r="AB73" s="283"/>
      <c r="AC73" s="283"/>
      <c r="AD73" s="283"/>
      <c r="AE73" s="284"/>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row>
    <row r="74" spans="1:61" ht="15" customHeight="1" x14ac:dyDescent="0.35">
      <c r="A74" s="56"/>
      <c r="B74" s="300"/>
      <c r="C74" s="300"/>
      <c r="D74" s="301"/>
      <c r="E74" s="289"/>
      <c r="F74" s="290"/>
      <c r="G74" s="290"/>
      <c r="H74" s="290"/>
      <c r="I74" s="288"/>
      <c r="J74" s="49" t="str">
        <f>IF(AND('Mapa final'!$AB$58="Alta",'Mapa final'!$AD$58="Leve"),CONCATENATE("R19C",'Mapa final'!$R$58),"")</f>
        <v/>
      </c>
      <c r="K74" s="50" t="str">
        <f>IF(AND('Mapa final'!$AB$59="Alta",'Mapa final'!$AD$59="Leve"),CONCATENATE("R19C",'Mapa final'!$R$59),"")</f>
        <v/>
      </c>
      <c r="L74" s="111" t="str">
        <f>IF(AND('Mapa final'!$AB$60="Alta",'Mapa final'!$AD$60="Leve"),CONCATENATE("R19C",'Mapa final'!$R$60),"")</f>
        <v/>
      </c>
      <c r="M74" s="49" t="str">
        <f>IF(AND('Mapa final'!$AB$58="Alta",'Mapa final'!$AD$58="Menor"),CONCATENATE("R19C",'Mapa final'!$R$58),"")</f>
        <v/>
      </c>
      <c r="N74" s="50" t="str">
        <f>IF(AND('Mapa final'!$AB$59="Alta",'Mapa final'!$AD$59="Menor"),CONCATENATE("R19C",'Mapa final'!$R$59),"")</f>
        <v/>
      </c>
      <c r="O74" s="111" t="str">
        <f>IF(AND('Mapa final'!$AB$60="Alta",'Mapa final'!$AD$60="Menor"),CONCATENATE("R19C",'Mapa final'!$R$60),"")</f>
        <v/>
      </c>
      <c r="P74" s="105" t="str">
        <f>IF(AND('Mapa final'!$AB$58="Alta",'Mapa final'!$AD$58="Moderado"),CONCATENATE("R19C",'Mapa final'!$R$58),"")</f>
        <v/>
      </c>
      <c r="Q74" s="42" t="str">
        <f>IF(AND('Mapa final'!$AB$59="Alta",'Mapa final'!$AD$59="Moderado"),CONCATENATE("R19C",'Mapa final'!$R$59),"")</f>
        <v/>
      </c>
      <c r="R74" s="106" t="str">
        <f>IF(AND('Mapa final'!$AB$60="Alta",'Mapa final'!$AD$60="Moderado"),CONCATENATE("R19C",'Mapa final'!$R$60),"")</f>
        <v/>
      </c>
      <c r="S74" s="105" t="str">
        <f>IF(AND('Mapa final'!$AB$58="Alta",'Mapa final'!$AD$58="Mayor"),CONCATENATE("R19C",'Mapa final'!$R$58),"")</f>
        <v/>
      </c>
      <c r="T74" s="42" t="str">
        <f>IF(AND('Mapa final'!$AB$59="Alta",'Mapa final'!$AD$59="Mayor"),CONCATENATE("R19C",'Mapa final'!$R$59),"")</f>
        <v/>
      </c>
      <c r="U74" s="106" t="str">
        <f>IF(AND('Mapa final'!$AB$60="Alta",'Mapa final'!$AD$60="Mayor"),CONCATENATE("R19C",'Mapa final'!$R$60),"")</f>
        <v/>
      </c>
      <c r="V74" s="43" t="str">
        <f>IF(AND('Mapa final'!$AB$58="Alta",'Mapa final'!$AD$58="Catastrófico"),CONCATENATE("R19C",'Mapa final'!$R$58),"")</f>
        <v/>
      </c>
      <c r="W74" s="44" t="str">
        <f>IF(AND('Mapa final'!$AB$59="Alta",'Mapa final'!$AD$59="Catastrófico"),CONCATENATE("R19C",'Mapa final'!$R$59),"")</f>
        <v/>
      </c>
      <c r="X74" s="100" t="str">
        <f>IF(AND('Mapa final'!$AB$60="Alta",'Mapa final'!$AD$60="Catastrófico"),CONCATENATE("R19C",'Mapa final'!$R$60),"")</f>
        <v/>
      </c>
      <c r="Y74" s="56"/>
      <c r="Z74" s="282"/>
      <c r="AA74" s="283"/>
      <c r="AB74" s="283"/>
      <c r="AC74" s="283"/>
      <c r="AD74" s="283"/>
      <c r="AE74" s="284"/>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row>
    <row r="75" spans="1:61" ht="15" customHeight="1" x14ac:dyDescent="0.35">
      <c r="A75" s="56"/>
      <c r="B75" s="300"/>
      <c r="C75" s="300"/>
      <c r="D75" s="301"/>
      <c r="E75" s="289"/>
      <c r="F75" s="290"/>
      <c r="G75" s="290"/>
      <c r="H75" s="290"/>
      <c r="I75" s="288"/>
      <c r="J75" s="49" t="str">
        <f>IF(AND('Mapa final'!$AB$61="Alta",'Mapa final'!$AD$61="Leve"),CONCATENATE("R20C",'Mapa final'!$R$61),"")</f>
        <v/>
      </c>
      <c r="K75" s="50" t="str">
        <f>IF(AND('Mapa final'!$AB$62="Alta",'Mapa final'!$AD$62="Leve"),CONCATENATE("R20C",'Mapa final'!$R$62),"")</f>
        <v/>
      </c>
      <c r="L75" s="111" t="str">
        <f>IF(AND('Mapa final'!$AB$63="Alta",'Mapa final'!$AD$63="Leve"),CONCATENATE("R20C",'Mapa final'!$R$63),"")</f>
        <v/>
      </c>
      <c r="M75" s="49" t="str">
        <f>IF(AND('Mapa final'!$AB$61="Alta",'Mapa final'!$AD$61="Menor"),CONCATENATE("R20C",'Mapa final'!$R$61),"")</f>
        <v/>
      </c>
      <c r="N75" s="50" t="str">
        <f>IF(AND('Mapa final'!$AB$62="Alta",'Mapa final'!$AD$62="Menor"),CONCATENATE("R20C",'Mapa final'!$R$62),"")</f>
        <v/>
      </c>
      <c r="O75" s="111" t="str">
        <f>IF(AND('Mapa final'!$AB$63="Alta",'Mapa final'!$AD$63="Menor"),CONCATENATE("R20C",'Mapa final'!$R$63),"")</f>
        <v/>
      </c>
      <c r="P75" s="105" t="str">
        <f>IF(AND('Mapa final'!$AB$61="Alta",'Mapa final'!$AD$61="Moderado"),CONCATENATE("R20C",'Mapa final'!$R$61),"")</f>
        <v/>
      </c>
      <c r="Q75" s="42" t="str">
        <f>IF(AND('Mapa final'!$AB$62="Alta",'Mapa final'!$AD$62="Moderado"),CONCATENATE("R20C",'Mapa final'!$R$62),"")</f>
        <v/>
      </c>
      <c r="R75" s="106" t="str">
        <f>IF(AND('Mapa final'!$AB$63="Alta",'Mapa final'!$AD$63="Moderado"),CONCATENATE("R20C",'Mapa final'!$R$63),"")</f>
        <v/>
      </c>
      <c r="S75" s="105" t="str">
        <f>IF(AND('Mapa final'!$AB$61="Alta",'Mapa final'!$AD$61="Mayor"),CONCATENATE("R20C",'Mapa final'!$R$61),"")</f>
        <v/>
      </c>
      <c r="T75" s="42" t="str">
        <f>IF(AND('Mapa final'!$AB$62="Alta",'Mapa final'!$AD$62="Mayor"),CONCATENATE("R20C",'Mapa final'!$R$62),"")</f>
        <v/>
      </c>
      <c r="U75" s="106" t="str">
        <f>IF(AND('Mapa final'!$AB$63="Alta",'Mapa final'!$AD$63="Mayor"),CONCATENATE("R20C",'Mapa final'!$R$63),"")</f>
        <v/>
      </c>
      <c r="V75" s="43" t="str">
        <f>IF(AND('Mapa final'!$AB$61="Alta",'Mapa final'!$AD$61="Catastrófico"),CONCATENATE("R20C",'Mapa final'!$R$61),"")</f>
        <v/>
      </c>
      <c r="W75" s="44" t="str">
        <f>IF(AND('Mapa final'!$AB$62="Alta",'Mapa final'!$AD$62="Catastrófico"),CONCATENATE("R20C",'Mapa final'!$R$62),"")</f>
        <v/>
      </c>
      <c r="X75" s="100" t="str">
        <f>IF(AND('Mapa final'!$AB$63="Alta",'Mapa final'!$AD$63="Catastrófico"),CONCATENATE("R20C",'Mapa final'!$R$63),"")</f>
        <v/>
      </c>
      <c r="Y75" s="56"/>
      <c r="Z75" s="282"/>
      <c r="AA75" s="283"/>
      <c r="AB75" s="283"/>
      <c r="AC75" s="283"/>
      <c r="AD75" s="283"/>
      <c r="AE75" s="284"/>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row>
    <row r="76" spans="1:61" ht="15" customHeight="1" x14ac:dyDescent="0.35">
      <c r="A76" s="56"/>
      <c r="B76" s="300"/>
      <c r="C76" s="300"/>
      <c r="D76" s="301"/>
      <c r="E76" s="289"/>
      <c r="F76" s="290"/>
      <c r="G76" s="290"/>
      <c r="H76" s="290"/>
      <c r="I76" s="288"/>
      <c r="J76" s="49" t="str">
        <f>IF(AND('Mapa final'!$AB$64="Alta",'Mapa final'!$AD$64="Leve"),CONCATENATE("R21C",'Mapa final'!$R$64),"")</f>
        <v/>
      </c>
      <c r="K76" s="50" t="str">
        <f>IF(AND('Mapa final'!$AB$65="Alta",'Mapa final'!$AD$65="Leve"),CONCATENATE("R21C",'Mapa final'!$R$65),"")</f>
        <v/>
      </c>
      <c r="L76" s="111" t="str">
        <f>IF(AND('Mapa final'!$AB$66="Alta",'Mapa final'!$AD$66="Leve"),CONCATENATE("R21C",'Mapa final'!$R$66),"")</f>
        <v/>
      </c>
      <c r="M76" s="49" t="str">
        <f>IF(AND('Mapa final'!$AB$64="Alta",'Mapa final'!$AD$64="Menor"),CONCATENATE("R21C",'Mapa final'!$R$64),"")</f>
        <v/>
      </c>
      <c r="N76" s="50" t="str">
        <f>IF(AND('Mapa final'!$AB$65="Alta",'Mapa final'!$AD$65="Menor"),CONCATENATE("R21C",'Mapa final'!$R$65),"")</f>
        <v/>
      </c>
      <c r="O76" s="111" t="str">
        <f>IF(AND('Mapa final'!$AB$66="Alta",'Mapa final'!$AD$66="Menor"),CONCATENATE("R21C",'Mapa final'!$R$66),"")</f>
        <v/>
      </c>
      <c r="P76" s="105" t="str">
        <f>IF(AND('Mapa final'!$AB$64="Alta",'Mapa final'!$AD$64="Moderado"),CONCATENATE("R21C",'Mapa final'!$R$64),"")</f>
        <v/>
      </c>
      <c r="Q76" s="42" t="str">
        <f>IF(AND('Mapa final'!$AB$65="Alta",'Mapa final'!$AD$65="Moderado"),CONCATENATE("R21C",'Mapa final'!$R$65),"")</f>
        <v/>
      </c>
      <c r="R76" s="106" t="str">
        <f>IF(AND('Mapa final'!$AB$66="Alta",'Mapa final'!$AD$66="Moderado"),CONCATENATE("R21C",'Mapa final'!$R$66),"")</f>
        <v/>
      </c>
      <c r="S76" s="105" t="str">
        <f>IF(AND('Mapa final'!$AB$64="Alta",'Mapa final'!$AD$64="Mayor"),CONCATENATE("R21C",'Mapa final'!$R$64),"")</f>
        <v/>
      </c>
      <c r="T76" s="42" t="str">
        <f>IF(AND('Mapa final'!$AB$65="Alta",'Mapa final'!$AD$65="Mayor"),CONCATENATE("R21C",'Mapa final'!$R$65),"")</f>
        <v/>
      </c>
      <c r="U76" s="106" t="str">
        <f>IF(AND('Mapa final'!$AB$66="Alta",'Mapa final'!$AD$66="Mayor"),CONCATENATE("R21C",'Mapa final'!$R$66),"")</f>
        <v/>
      </c>
      <c r="V76" s="43" t="str">
        <f>IF(AND('Mapa final'!$AB$64="Alta",'Mapa final'!$AD$64="Catastrófico"),CONCATENATE("R21C",'Mapa final'!$R$64),"")</f>
        <v/>
      </c>
      <c r="W76" s="44" t="str">
        <f>IF(AND('Mapa final'!$AB$65="Alta",'Mapa final'!$AD$65="Catastrófico"),CONCATENATE("R21C",'Mapa final'!$R$65),"")</f>
        <v/>
      </c>
      <c r="X76" s="100" t="str">
        <f>IF(AND('Mapa final'!$AB$66="Alta",'Mapa final'!$AD$66="Catastrófico"),CONCATENATE("R21C",'Mapa final'!$R$66),"")</f>
        <v/>
      </c>
      <c r="Y76" s="56"/>
      <c r="Z76" s="282"/>
      <c r="AA76" s="283"/>
      <c r="AB76" s="283"/>
      <c r="AC76" s="283"/>
      <c r="AD76" s="283"/>
      <c r="AE76" s="284"/>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row>
    <row r="77" spans="1:61" ht="15" customHeight="1" x14ac:dyDescent="0.35">
      <c r="A77" s="56"/>
      <c r="B77" s="300"/>
      <c r="C77" s="300"/>
      <c r="D77" s="301"/>
      <c r="E77" s="289"/>
      <c r="F77" s="290"/>
      <c r="G77" s="290"/>
      <c r="H77" s="290"/>
      <c r="I77" s="288"/>
      <c r="J77" s="49" t="str">
        <f>IF(AND('Mapa final'!$AB$67="Alta",'Mapa final'!$AD$67="Leve"),CONCATENATE("R22C",'Mapa final'!$R$67),"")</f>
        <v/>
      </c>
      <c r="K77" s="50" t="str">
        <f>IF(AND('Mapa final'!$AB$68="Alta",'Mapa final'!$AD$68="Leve"),CONCATENATE("R22C",'Mapa final'!$R$68),"")</f>
        <v/>
      </c>
      <c r="L77" s="111" t="str">
        <f>IF(AND('Mapa final'!$AB$69="Alta",'Mapa final'!$AD$69="Leve"),CONCATENATE("R22C",'Mapa final'!$R$69),"")</f>
        <v/>
      </c>
      <c r="M77" s="49" t="str">
        <f>IF(AND('Mapa final'!$AB$67="Alta",'Mapa final'!$AD$67="Menor"),CONCATENATE("R22C",'Mapa final'!$R$67),"")</f>
        <v/>
      </c>
      <c r="N77" s="50" t="str">
        <f>IF(AND('Mapa final'!$AB$68="Alta",'Mapa final'!$AD$68="Menor"),CONCATENATE("R22C",'Mapa final'!$R$68),"")</f>
        <v/>
      </c>
      <c r="O77" s="111" t="str">
        <f>IF(AND('Mapa final'!$AB$69="Alta",'Mapa final'!$AD$69="Menor"),CONCATENATE("R22C",'Mapa final'!$R$69),"")</f>
        <v/>
      </c>
      <c r="P77" s="105" t="str">
        <f>IF(AND('Mapa final'!$AB$67="Alta",'Mapa final'!$AD$67="Moderado"),CONCATENATE("R22C",'Mapa final'!$R$67),"")</f>
        <v/>
      </c>
      <c r="Q77" s="42" t="str">
        <f>IF(AND('Mapa final'!$AB$68="Alta",'Mapa final'!$AD$68="Moderado"),CONCATENATE("R22C",'Mapa final'!$R$68),"")</f>
        <v/>
      </c>
      <c r="R77" s="106" t="str">
        <f>IF(AND('Mapa final'!$AB$69="Alta",'Mapa final'!$AD$69="Moderado"),CONCATENATE("R22C",'Mapa final'!$R$69),"")</f>
        <v/>
      </c>
      <c r="S77" s="105" t="str">
        <f>IF(AND('Mapa final'!$AB$67="Alta",'Mapa final'!$AD$67="Mayor"),CONCATENATE("R22C",'Mapa final'!$R$67),"")</f>
        <v/>
      </c>
      <c r="T77" s="42" t="str">
        <f>IF(AND('Mapa final'!$AB$68="Alta",'Mapa final'!$AD$68="Mayor"),CONCATENATE("R22C",'Mapa final'!$R$68),"")</f>
        <v/>
      </c>
      <c r="U77" s="106" t="str">
        <f>IF(AND('Mapa final'!$AB$69="Alta",'Mapa final'!$AD$69="Mayor"),CONCATENATE("R22C",'Mapa final'!$R$69),"")</f>
        <v/>
      </c>
      <c r="V77" s="43" t="str">
        <f>IF(AND('Mapa final'!$AB$67="Alta",'Mapa final'!$AD$67="Catastrófico"),CONCATENATE("R22C",'Mapa final'!$R$67),"")</f>
        <v/>
      </c>
      <c r="W77" s="44" t="str">
        <f>IF(AND('Mapa final'!$AB$68="Alta",'Mapa final'!$AD$68="Catastrófico"),CONCATENATE("R22C",'Mapa final'!$R$68),"")</f>
        <v/>
      </c>
      <c r="X77" s="100" t="str">
        <f>IF(AND('Mapa final'!$AB$69="Alta",'Mapa final'!$AD$69="Catastrófico"),CONCATENATE("R22C",'Mapa final'!$R$69),"")</f>
        <v/>
      </c>
      <c r="Y77" s="56"/>
      <c r="Z77" s="282"/>
      <c r="AA77" s="283"/>
      <c r="AB77" s="283"/>
      <c r="AC77" s="283"/>
      <c r="AD77" s="283"/>
      <c r="AE77" s="284"/>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row>
    <row r="78" spans="1:61" ht="15" customHeight="1" x14ac:dyDescent="0.35">
      <c r="A78" s="56"/>
      <c r="B78" s="300"/>
      <c r="C78" s="300"/>
      <c r="D78" s="301"/>
      <c r="E78" s="289"/>
      <c r="F78" s="290"/>
      <c r="G78" s="290"/>
      <c r="H78" s="290"/>
      <c r="I78" s="288"/>
      <c r="J78" s="49" t="str">
        <f>IF(AND('Mapa final'!$AB$73="Alta",'Mapa final'!$AD$73="Leve"),CONCATENATE("R23C",'Mapa final'!$R$73),"")</f>
        <v/>
      </c>
      <c r="K78" s="50" t="str">
        <f>IF(AND('Mapa final'!$AB$74="Alta",'Mapa final'!$AD$74="Leve"),CONCATENATE("R23C",'Mapa final'!$R$74),"")</f>
        <v/>
      </c>
      <c r="L78" s="111" t="str">
        <f>IF(AND('Mapa final'!$AB$75="Alta",'Mapa final'!$AD$75="Leve"),CONCATENATE("R23C",'Mapa final'!$R$75),"")</f>
        <v/>
      </c>
      <c r="M78" s="49" t="str">
        <f>IF(AND('Mapa final'!$AB$73="Alta",'Mapa final'!$AD$73="Menor"),CONCATENATE("R23C",'Mapa final'!$R$73),"")</f>
        <v/>
      </c>
      <c r="N78" s="50" t="str">
        <f>IF(AND('Mapa final'!$AB$74="Alta",'Mapa final'!$AD$74="Menor"),CONCATENATE("R23C",'Mapa final'!$R$74),"")</f>
        <v/>
      </c>
      <c r="O78" s="111" t="str">
        <f>IF(AND('Mapa final'!$AB$75="Alta",'Mapa final'!$AD$75="Menor"),CONCATENATE("R23C",'Mapa final'!$R$75),"")</f>
        <v/>
      </c>
      <c r="P78" s="105" t="str">
        <f>IF(AND('Mapa final'!$AB$73="Alta",'Mapa final'!$AD$73="Moderado"),CONCATENATE("R23C",'Mapa final'!$R$73),"")</f>
        <v/>
      </c>
      <c r="Q78" s="42" t="str">
        <f>IF(AND('Mapa final'!$AB$74="Alta",'Mapa final'!$AD$74="Moderado"),CONCATENATE("R23C",'Mapa final'!$R$74),"")</f>
        <v/>
      </c>
      <c r="R78" s="106" t="str">
        <f>IF(AND('Mapa final'!$AB$75="Alta",'Mapa final'!$AD$75="Moderado"),CONCATENATE("R23C",'Mapa final'!$R$75),"")</f>
        <v/>
      </c>
      <c r="S78" s="105" t="str">
        <f>IF(AND('Mapa final'!$AB$73="Alta",'Mapa final'!$AD$73="Mayor"),CONCATENATE("R23C",'Mapa final'!$R$73),"")</f>
        <v/>
      </c>
      <c r="T78" s="42" t="str">
        <f>IF(AND('Mapa final'!$AB$74="Alta",'Mapa final'!$AD$74="Mayor"),CONCATENATE("R23C",'Mapa final'!$R$74),"")</f>
        <v/>
      </c>
      <c r="U78" s="106" t="str">
        <f>IF(AND('Mapa final'!$AB$75="Alta",'Mapa final'!$AD$75="Mayor"),CONCATENATE("R23C",'Mapa final'!$R$75),"")</f>
        <v/>
      </c>
      <c r="V78" s="43" t="str">
        <f>IF(AND('Mapa final'!$AB$73="Alta",'Mapa final'!$AD$73="Catastrófico"),CONCATENATE("R23C",'Mapa final'!$R$73),"")</f>
        <v/>
      </c>
      <c r="W78" s="44" t="str">
        <f>IF(AND('Mapa final'!$AB$74="Alta",'Mapa final'!$AD$74="Catastrófico"),CONCATENATE("R23C",'Mapa final'!$R$74),"")</f>
        <v/>
      </c>
      <c r="X78" s="100" t="str">
        <f>IF(AND('Mapa final'!$AB$75="Alta",'Mapa final'!$AD$75="Catastrófico"),CONCATENATE("R23C",'Mapa final'!$R$75),"")</f>
        <v/>
      </c>
      <c r="Y78" s="56"/>
      <c r="Z78" s="282"/>
      <c r="AA78" s="283"/>
      <c r="AB78" s="283"/>
      <c r="AC78" s="283"/>
      <c r="AD78" s="283"/>
      <c r="AE78" s="284"/>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row>
    <row r="79" spans="1:61" ht="15" customHeight="1" x14ac:dyDescent="0.35">
      <c r="A79" s="56"/>
      <c r="B79" s="300"/>
      <c r="C79" s="300"/>
      <c r="D79" s="301"/>
      <c r="E79" s="289"/>
      <c r="F79" s="290"/>
      <c r="G79" s="290"/>
      <c r="H79" s="290"/>
      <c r="I79" s="288"/>
      <c r="J79" s="49" t="str">
        <f>IF(AND('Mapa final'!$AB$76="Alta",'Mapa final'!$AD$76="Leve"),CONCATENATE("R24C",'Mapa final'!$R$76),"")</f>
        <v/>
      </c>
      <c r="K79" s="50" t="str">
        <f>IF(AND('Mapa final'!$AB$77="Alta",'Mapa final'!$AD$77="Leve"),CONCATENATE("R24C",'Mapa final'!$R$77),"")</f>
        <v/>
      </c>
      <c r="L79" s="111" t="str">
        <f>IF(AND('Mapa final'!$AB$78="Alta",'Mapa final'!$AD$78="Leve"),CONCATENATE("R24C",'Mapa final'!$R$78),"")</f>
        <v/>
      </c>
      <c r="M79" s="49" t="str">
        <f>IF(AND('Mapa final'!$AB$76="Alta",'Mapa final'!$AD$76="Menor"),CONCATENATE("R24C",'Mapa final'!$R$76),"")</f>
        <v/>
      </c>
      <c r="N79" s="50" t="str">
        <f>IF(AND('Mapa final'!$AB$77="Alta",'Mapa final'!$AD$77="Menor"),CONCATENATE("R24C",'Mapa final'!$R$77),"")</f>
        <v/>
      </c>
      <c r="O79" s="111" t="str">
        <f>IF(AND('Mapa final'!$AB$78="Alta",'Mapa final'!$AD$78="Menor"),CONCATENATE("R24C",'Mapa final'!$R$78),"")</f>
        <v/>
      </c>
      <c r="P79" s="105" t="str">
        <f>IF(AND('Mapa final'!$AB$76="Alta",'Mapa final'!$AD$76="Moderado"),CONCATENATE("R24C",'Mapa final'!$R$76),"")</f>
        <v/>
      </c>
      <c r="Q79" s="42" t="str">
        <f>IF(AND('Mapa final'!$AB$77="Alta",'Mapa final'!$AD$77="Moderado"),CONCATENATE("R24C",'Mapa final'!$R$77),"")</f>
        <v/>
      </c>
      <c r="R79" s="106" t="str">
        <f>IF(AND('Mapa final'!$AB$78="Alta",'Mapa final'!$AD$78="Moderado"),CONCATENATE("R24C",'Mapa final'!$R$78),"")</f>
        <v/>
      </c>
      <c r="S79" s="105" t="str">
        <f>IF(AND('Mapa final'!$AB$76="Alta",'Mapa final'!$AD$76="Mayor"),CONCATENATE("R24C",'Mapa final'!$R$76),"")</f>
        <v/>
      </c>
      <c r="T79" s="42" t="str">
        <f>IF(AND('Mapa final'!$AB$77="Alta",'Mapa final'!$AD$77="Mayor"),CONCATENATE("R24C",'Mapa final'!$R$77),"")</f>
        <v/>
      </c>
      <c r="U79" s="106" t="str">
        <f>IF(AND('Mapa final'!$AB$78="Alta",'Mapa final'!$AD$78="Mayor"),CONCATENATE("R24C",'Mapa final'!$R$78),"")</f>
        <v/>
      </c>
      <c r="V79" s="43" t="str">
        <f>IF(AND('Mapa final'!$AB$76="Alta",'Mapa final'!$AD$76="Catastrófico"),CONCATENATE("R24C",'Mapa final'!$R$76),"")</f>
        <v/>
      </c>
      <c r="W79" s="44" t="str">
        <f>IF(AND('Mapa final'!$AB$77="Alta",'Mapa final'!$AD$77="Catastrófico"),CONCATENATE("R24C",'Mapa final'!$R$77),"")</f>
        <v/>
      </c>
      <c r="X79" s="100" t="str">
        <f>IF(AND('Mapa final'!$AB$78="Alta",'Mapa final'!$AD$78="Catastrófico"),CONCATENATE("R24C",'Mapa final'!$R$78),"")</f>
        <v/>
      </c>
      <c r="Y79" s="56"/>
      <c r="Z79" s="282"/>
      <c r="AA79" s="283"/>
      <c r="AB79" s="283"/>
      <c r="AC79" s="283"/>
      <c r="AD79" s="283"/>
      <c r="AE79" s="284"/>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row>
    <row r="80" spans="1:61" ht="15" customHeight="1" x14ac:dyDescent="0.35">
      <c r="A80" s="56"/>
      <c r="B80" s="300"/>
      <c r="C80" s="300"/>
      <c r="D80" s="301"/>
      <c r="E80" s="289"/>
      <c r="F80" s="290"/>
      <c r="G80" s="290"/>
      <c r="H80" s="290"/>
      <c r="I80" s="288"/>
      <c r="J80" s="49" t="str">
        <f>IF(AND('Mapa final'!$AB$79="Alta",'Mapa final'!$AD$79="Leve"),CONCATENATE("R25C",'Mapa final'!$R$79),"")</f>
        <v/>
      </c>
      <c r="K80" s="50" t="str">
        <f>IF(AND('Mapa final'!$AB$80="Alta",'Mapa final'!$AD$80="Leve"),CONCATENATE("R25C",'Mapa final'!$R$80),"")</f>
        <v/>
      </c>
      <c r="L80" s="111" t="str">
        <f>IF(AND('Mapa final'!$AB$81="Alta",'Mapa final'!$AD$81="Leve"),CONCATENATE("R25C",'Mapa final'!$R$81),"")</f>
        <v/>
      </c>
      <c r="M80" s="49" t="str">
        <f>IF(AND('Mapa final'!$AB$79="Alta",'Mapa final'!$AD$79="Menor"),CONCATENATE("R25C",'Mapa final'!$R$79),"")</f>
        <v/>
      </c>
      <c r="N80" s="50" t="str">
        <f>IF(AND('Mapa final'!$AB$80="Alta",'Mapa final'!$AD$80="Menor"),CONCATENATE("R25C",'Mapa final'!$R$80),"")</f>
        <v/>
      </c>
      <c r="O80" s="111" t="str">
        <f>IF(AND('Mapa final'!$AB$81="Alta",'Mapa final'!$AD$81="Menor"),CONCATENATE("R25C",'Mapa final'!$R$81),"")</f>
        <v/>
      </c>
      <c r="P80" s="105" t="str">
        <f>IF(AND('Mapa final'!$AB$79="Alta",'Mapa final'!$AD$79="Moderado"),CONCATENATE("R25C",'Mapa final'!$R$79),"")</f>
        <v/>
      </c>
      <c r="Q80" s="42" t="str">
        <f>IF(AND('Mapa final'!$AB$80="Alta",'Mapa final'!$AD$80="Moderado"),CONCATENATE("R25C",'Mapa final'!$R$80),"")</f>
        <v/>
      </c>
      <c r="R80" s="106" t="str">
        <f>IF(AND('Mapa final'!$AB$81="Alta",'Mapa final'!$AD$81="Moderado"),CONCATENATE("R25C",'Mapa final'!$R$81),"")</f>
        <v/>
      </c>
      <c r="S80" s="105" t="str">
        <f>IF(AND('Mapa final'!$AB$79="Alta",'Mapa final'!$AD$79="Mayor"),CONCATENATE("R25C",'Mapa final'!$R$79),"")</f>
        <v/>
      </c>
      <c r="T80" s="42" t="str">
        <f>IF(AND('Mapa final'!$AB$80="Alta",'Mapa final'!$AD$80="Mayor"),CONCATENATE("R25C",'Mapa final'!$R$80),"")</f>
        <v/>
      </c>
      <c r="U80" s="106" t="str">
        <f>IF(AND('Mapa final'!$AB$81="Alta",'Mapa final'!$AD$81="Mayor"),CONCATENATE("R25C",'Mapa final'!$R$81),"")</f>
        <v/>
      </c>
      <c r="V80" s="43" t="str">
        <f>IF(AND('Mapa final'!$AB$79="Alta",'Mapa final'!$AD$79="Catastrófico"),CONCATENATE("R25C",'Mapa final'!$R$79),"")</f>
        <v/>
      </c>
      <c r="W80" s="44" t="str">
        <f>IF(AND('Mapa final'!$AB$80="Alta",'Mapa final'!$AD$80="Catastrófico"),CONCATENATE("R25C",'Mapa final'!$R$80),"")</f>
        <v/>
      </c>
      <c r="X80" s="100" t="str">
        <f>IF(AND('Mapa final'!$AB$81="Alta",'Mapa final'!$AD$81="Catastrófico"),CONCATENATE("R25C",'Mapa final'!$R$81),"")</f>
        <v/>
      </c>
      <c r="Y80" s="56"/>
      <c r="Z80" s="282"/>
      <c r="AA80" s="283"/>
      <c r="AB80" s="283"/>
      <c r="AC80" s="283"/>
      <c r="AD80" s="283"/>
      <c r="AE80" s="284"/>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row>
    <row r="81" spans="1:61" ht="15" customHeight="1" x14ac:dyDescent="0.35">
      <c r="A81" s="56"/>
      <c r="B81" s="300"/>
      <c r="C81" s="300"/>
      <c r="D81" s="301"/>
      <c r="E81" s="289"/>
      <c r="F81" s="290"/>
      <c r="G81" s="290"/>
      <c r="H81" s="290"/>
      <c r="I81" s="288"/>
      <c r="J81" s="49" t="str">
        <f>IF(AND('Mapa final'!$AB$82="Alta",'Mapa final'!$AD$82="Leve"),CONCATENATE("R26C",'Mapa final'!$R$82),"")</f>
        <v/>
      </c>
      <c r="K81" s="50" t="str">
        <f>IF(AND('Mapa final'!$AB$83="Alta",'Mapa final'!$AD$83="Leve"),CONCATENATE("R26C",'Mapa final'!$R$83),"")</f>
        <v/>
      </c>
      <c r="L81" s="111" t="str">
        <f>IF(AND('Mapa final'!$AB$84="Alta",'Mapa final'!$AD$84="Leve"),CONCATENATE("R26C",'Mapa final'!$R$84),"")</f>
        <v/>
      </c>
      <c r="M81" s="49" t="str">
        <f>IF(AND('Mapa final'!$AB$82="Alta",'Mapa final'!$AD$82="Menor"),CONCATENATE("R26C",'Mapa final'!$R$82),"")</f>
        <v/>
      </c>
      <c r="N81" s="50" t="str">
        <f>IF(AND('Mapa final'!$AB$83="Alta",'Mapa final'!$AD$83="Menor"),CONCATENATE("R26C",'Mapa final'!$R$83),"")</f>
        <v/>
      </c>
      <c r="O81" s="111" t="str">
        <f>IF(AND('Mapa final'!$AB$84="Alta",'Mapa final'!$AD$84="Menor"),CONCATENATE("R26C",'Mapa final'!$R$84),"")</f>
        <v/>
      </c>
      <c r="P81" s="105" t="str">
        <f>IF(AND('Mapa final'!$AB$82="Alta",'Mapa final'!$AD$82="Moderado"),CONCATENATE("R26C",'Mapa final'!$R$82),"")</f>
        <v/>
      </c>
      <c r="Q81" s="42" t="str">
        <f>IF(AND('Mapa final'!$AB$83="Alta",'Mapa final'!$AD$83="Moderado"),CONCATENATE("R26C",'Mapa final'!$R$83),"")</f>
        <v/>
      </c>
      <c r="R81" s="106" t="str">
        <f>IF(AND('Mapa final'!$AB$84="Alta",'Mapa final'!$AD$84="Moderado"),CONCATENATE("R26C",'Mapa final'!$R$84),"")</f>
        <v/>
      </c>
      <c r="S81" s="105" t="str">
        <f>IF(AND('Mapa final'!$AB$82="Alta",'Mapa final'!$AD$82="Mayor"),CONCATENATE("R26C",'Mapa final'!$R$82),"")</f>
        <v/>
      </c>
      <c r="T81" s="42" t="str">
        <f>IF(AND('Mapa final'!$AB$83="Alta",'Mapa final'!$AD$83="Mayor"),CONCATENATE("R26C",'Mapa final'!$R$83),"")</f>
        <v/>
      </c>
      <c r="U81" s="106" t="str">
        <f>IF(AND('Mapa final'!$AB$84="Alta",'Mapa final'!$AD$84="Mayor"),CONCATENATE("R26C",'Mapa final'!$R$84),"")</f>
        <v/>
      </c>
      <c r="V81" s="43" t="str">
        <f>IF(AND('Mapa final'!$AB$82="Alta",'Mapa final'!$AD$82="Catastrófico"),CONCATENATE("R26C",'Mapa final'!$R$82),"")</f>
        <v/>
      </c>
      <c r="W81" s="44" t="str">
        <f>IF(AND('Mapa final'!$AB$83="Alta",'Mapa final'!$AD$83="Catastrófico"),CONCATENATE("R26C",'Mapa final'!$R$83),"")</f>
        <v/>
      </c>
      <c r="X81" s="100" t="str">
        <f>IF(AND('Mapa final'!$AB$84="Alta",'Mapa final'!$AD$84="Catastrófico"),CONCATENATE("R26C",'Mapa final'!$R$84),"")</f>
        <v/>
      </c>
      <c r="Y81" s="56"/>
      <c r="Z81" s="282"/>
      <c r="AA81" s="283"/>
      <c r="AB81" s="283"/>
      <c r="AC81" s="283"/>
      <c r="AD81" s="283"/>
      <c r="AE81" s="284"/>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row>
    <row r="82" spans="1:61" ht="15" customHeight="1" x14ac:dyDescent="0.35">
      <c r="A82" s="56"/>
      <c r="B82" s="300"/>
      <c r="C82" s="300"/>
      <c r="D82" s="301"/>
      <c r="E82" s="289"/>
      <c r="F82" s="290"/>
      <c r="G82" s="290"/>
      <c r="H82" s="290"/>
      <c r="I82" s="288"/>
      <c r="J82" s="49" t="str">
        <f>IF(AND('Mapa final'!$AB$85="Alta",'Mapa final'!$AD$85="Leve"),CONCATENATE("R27C",'Mapa final'!$R$85),"")</f>
        <v/>
      </c>
      <c r="K82" s="50" t="str">
        <f>IF(AND('Mapa final'!$AB$86="Alta",'Mapa final'!$AD$86="Leve"),CONCATENATE("R27C",'Mapa final'!$R$86),"")</f>
        <v/>
      </c>
      <c r="L82" s="111" t="str">
        <f>IF(AND('Mapa final'!$AB$87="Alta",'Mapa final'!$AD$87="Leve"),CONCATENATE("R27C",'Mapa final'!$R$87),"")</f>
        <v/>
      </c>
      <c r="M82" s="49" t="str">
        <f>IF(AND('Mapa final'!$AB$85="Alta",'Mapa final'!$AD$85="Menor"),CONCATENATE("R27C",'Mapa final'!$R$85),"")</f>
        <v/>
      </c>
      <c r="N82" s="50" t="str">
        <f>IF(AND('Mapa final'!$AB$86="Alta",'Mapa final'!$AD$86="Menor"),CONCATENATE("R27C",'Mapa final'!$R$86),"")</f>
        <v/>
      </c>
      <c r="O82" s="111" t="str">
        <f>IF(AND('Mapa final'!$AB$87="Alta",'Mapa final'!$AD$87="Menor"),CONCATENATE("R27C",'Mapa final'!$R$87),"")</f>
        <v/>
      </c>
      <c r="P82" s="105" t="str">
        <f>IF(AND('Mapa final'!$AB$85="Alta",'Mapa final'!$AD$85="Moderado"),CONCATENATE("R27C",'Mapa final'!$R$85),"")</f>
        <v/>
      </c>
      <c r="Q82" s="42" t="str">
        <f>IF(AND('Mapa final'!$AB$86="Alta",'Mapa final'!$AD$86="Moderado"),CONCATENATE("R27C",'Mapa final'!$R$86),"")</f>
        <v/>
      </c>
      <c r="R82" s="106" t="str">
        <f>IF(AND('Mapa final'!$AB$87="Alta",'Mapa final'!$AD$87="Moderado"),CONCATENATE("R27C",'Mapa final'!$R$87),"")</f>
        <v/>
      </c>
      <c r="S82" s="105" t="str">
        <f>IF(AND('Mapa final'!$AB$85="Alta",'Mapa final'!$AD$85="Mayor"),CONCATENATE("R27C",'Mapa final'!$R$85),"")</f>
        <v/>
      </c>
      <c r="T82" s="42" t="str">
        <f>IF(AND('Mapa final'!$AB$86="Alta",'Mapa final'!$AD$86="Mayor"),CONCATENATE("R27C",'Mapa final'!$R$86),"")</f>
        <v/>
      </c>
      <c r="U82" s="106" t="str">
        <f>IF(AND('Mapa final'!$AB$87="Alta",'Mapa final'!$AD$87="Mayor"),CONCATENATE("R27C",'Mapa final'!$R$87),"")</f>
        <v/>
      </c>
      <c r="V82" s="43" t="str">
        <f>IF(AND('Mapa final'!$AB$85="Alta",'Mapa final'!$AD$85="Catastrófico"),CONCATENATE("R27C",'Mapa final'!$R$85),"")</f>
        <v/>
      </c>
      <c r="W82" s="44" t="str">
        <f>IF(AND('Mapa final'!$AB$86="Alta",'Mapa final'!$AD$86="Catastrófico"),CONCATENATE("R27C",'Mapa final'!$R$86),"")</f>
        <v/>
      </c>
      <c r="X82" s="100" t="str">
        <f>IF(AND('Mapa final'!$AB$87="Alta",'Mapa final'!$AD$87="Catastrófico"),CONCATENATE("R27C",'Mapa final'!$R$87),"")</f>
        <v/>
      </c>
      <c r="Y82" s="56"/>
      <c r="Z82" s="282"/>
      <c r="AA82" s="283"/>
      <c r="AB82" s="283"/>
      <c r="AC82" s="283"/>
      <c r="AD82" s="283"/>
      <c r="AE82" s="284"/>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row>
    <row r="83" spans="1:61" ht="15" customHeight="1" x14ac:dyDescent="0.35">
      <c r="A83" s="56"/>
      <c r="B83" s="300"/>
      <c r="C83" s="300"/>
      <c r="D83" s="301"/>
      <c r="E83" s="289"/>
      <c r="F83" s="290"/>
      <c r="G83" s="290"/>
      <c r="H83" s="290"/>
      <c r="I83" s="288"/>
      <c r="J83" s="49" t="str">
        <f>IF(AND('Mapa final'!$AB$88="Alta",'Mapa final'!$AD$88="Leve"),CONCATENATE("R28C",'Mapa final'!$R$88),"")</f>
        <v/>
      </c>
      <c r="K83" s="50" t="str">
        <f>IF(AND('Mapa final'!$AB$89="Alta",'Mapa final'!$AD$89="Leve"),CONCATENATE("R28C",'Mapa final'!$R$89),"")</f>
        <v/>
      </c>
      <c r="L83" s="111" t="str">
        <f>IF(AND('Mapa final'!$AB$90="Alta",'Mapa final'!$AD$90="Leve"),CONCATENATE("R28C",'Mapa final'!$R$90),"")</f>
        <v/>
      </c>
      <c r="M83" s="49" t="str">
        <f>IF(AND('Mapa final'!$AB$88="Alta",'Mapa final'!$AD$88="Menor"),CONCATENATE("R28C",'Mapa final'!$R$88),"")</f>
        <v/>
      </c>
      <c r="N83" s="50" t="str">
        <f>IF(AND('Mapa final'!$AB$89="Alta",'Mapa final'!$AD$89="Menor"),CONCATENATE("R28C",'Mapa final'!$R$89),"")</f>
        <v/>
      </c>
      <c r="O83" s="111" t="str">
        <f>IF(AND('Mapa final'!$AB$90="Alta",'Mapa final'!$AD$90="Menor"),CONCATENATE("R28C",'Mapa final'!$R$90),"")</f>
        <v/>
      </c>
      <c r="P83" s="105" t="str">
        <f>IF(AND('Mapa final'!$AB$88="Alta",'Mapa final'!$AD$88="Moderado"),CONCATENATE("R28C",'Mapa final'!$R$88),"")</f>
        <v/>
      </c>
      <c r="Q83" s="42" t="str">
        <f>IF(AND('Mapa final'!$AB$89="Alta",'Mapa final'!$AD$89="Moderado"),CONCATENATE("R28C",'Mapa final'!$R$89),"")</f>
        <v/>
      </c>
      <c r="R83" s="106" t="str">
        <f>IF(AND('Mapa final'!$AB$90="Alta",'Mapa final'!$AD$90="Moderado"),CONCATENATE("R28C",'Mapa final'!$R$90),"")</f>
        <v/>
      </c>
      <c r="S83" s="105" t="str">
        <f>IF(AND('Mapa final'!$AB$88="Alta",'Mapa final'!$AD$88="Mayor"),CONCATENATE("R28C",'Mapa final'!$R$88),"")</f>
        <v/>
      </c>
      <c r="T83" s="42" t="str">
        <f>IF(AND('Mapa final'!$AB$89="Alta",'Mapa final'!$AD$89="Mayor"),CONCATENATE("R28C",'Mapa final'!$R$89),"")</f>
        <v/>
      </c>
      <c r="U83" s="106" t="str">
        <f>IF(AND('Mapa final'!$AB$90="Alta",'Mapa final'!$AD$90="Mayor"),CONCATENATE("R28C",'Mapa final'!$R$90),"")</f>
        <v/>
      </c>
      <c r="V83" s="43" t="str">
        <f>IF(AND('Mapa final'!$AB$88="Alta",'Mapa final'!$AD$88="Catastrófico"),CONCATENATE("R28C",'Mapa final'!$R$88),"")</f>
        <v/>
      </c>
      <c r="W83" s="44" t="str">
        <f>IF(AND('Mapa final'!$AB$89="Alta",'Mapa final'!$AD$89="Catastrófico"),CONCATENATE("R28C",'Mapa final'!$R$89),"")</f>
        <v/>
      </c>
      <c r="X83" s="100" t="str">
        <f>IF(AND('Mapa final'!$AB$90="Alta",'Mapa final'!$AD$90="Catastrófico"),CONCATENATE("R28C",'Mapa final'!$R$90),"")</f>
        <v/>
      </c>
      <c r="Y83" s="56"/>
      <c r="Z83" s="282"/>
      <c r="AA83" s="283"/>
      <c r="AB83" s="283"/>
      <c r="AC83" s="283"/>
      <c r="AD83" s="283"/>
      <c r="AE83" s="284"/>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row>
    <row r="84" spans="1:61" ht="15" customHeight="1" x14ac:dyDescent="0.35">
      <c r="A84" s="56"/>
      <c r="B84" s="300"/>
      <c r="C84" s="300"/>
      <c r="D84" s="301"/>
      <c r="E84" s="289"/>
      <c r="F84" s="290"/>
      <c r="G84" s="290"/>
      <c r="H84" s="290"/>
      <c r="I84" s="288"/>
      <c r="J84" s="49" t="str">
        <f>IF(AND('Mapa final'!$AB$91="Alta",'Mapa final'!$AD$91="Leve"),CONCATENATE("R29C",'Mapa final'!$R$91),"")</f>
        <v/>
      </c>
      <c r="K84" s="50" t="str">
        <f>IF(AND('Mapa final'!$AB$92="Alta",'Mapa final'!$AD$92="Leve"),CONCATENATE("R29C",'Mapa final'!$R$92),"")</f>
        <v/>
      </c>
      <c r="L84" s="111" t="str">
        <f>IF(AND('Mapa final'!$AB$93="Alta",'Mapa final'!$AD$93="Leve"),CONCATENATE("R29C",'Mapa final'!$R$93),"")</f>
        <v/>
      </c>
      <c r="M84" s="49" t="str">
        <f>IF(AND('Mapa final'!$AB$91="Alta",'Mapa final'!$AD$91="Menor"),CONCATENATE("R29C",'Mapa final'!$R$91),"")</f>
        <v/>
      </c>
      <c r="N84" s="50" t="str">
        <f>IF(AND('Mapa final'!$AB$92="Alta",'Mapa final'!$AD$92="Menor"),CONCATENATE("R29C",'Mapa final'!$R$92),"")</f>
        <v/>
      </c>
      <c r="O84" s="111" t="str">
        <f>IF(AND('Mapa final'!$AB$93="Alta",'Mapa final'!$AD$93="Menor"),CONCATENATE("R29C",'Mapa final'!$R$93),"")</f>
        <v/>
      </c>
      <c r="P84" s="105" t="str">
        <f>IF(AND('Mapa final'!$AB$91="Alta",'Mapa final'!$AD$91="Moderado"),CONCATENATE("R29C",'Mapa final'!$R$91),"")</f>
        <v/>
      </c>
      <c r="Q84" s="42" t="str">
        <f>IF(AND('Mapa final'!$AB$92="Alta",'Mapa final'!$AD$92="Moderado"),CONCATENATE("R29C",'Mapa final'!$R$92),"")</f>
        <v/>
      </c>
      <c r="R84" s="106" t="str">
        <f>IF(AND('Mapa final'!$AB$93="Alta",'Mapa final'!$AD$93="Moderado"),CONCATENATE("R29C",'Mapa final'!$R$93),"")</f>
        <v/>
      </c>
      <c r="S84" s="105" t="str">
        <f>IF(AND('Mapa final'!$AB$91="Alta",'Mapa final'!$AD$91="Mayor"),CONCATENATE("R29C",'Mapa final'!$R$91),"")</f>
        <v/>
      </c>
      <c r="T84" s="42" t="str">
        <f>IF(AND('Mapa final'!$AB$92="Alta",'Mapa final'!$AD$92="Mayor"),CONCATENATE("R29C",'Mapa final'!$R$92),"")</f>
        <v/>
      </c>
      <c r="U84" s="106" t="str">
        <f>IF(AND('Mapa final'!$AB$93="Alta",'Mapa final'!$AD$93="Mayor"),CONCATENATE("R29C",'Mapa final'!$R$93),"")</f>
        <v/>
      </c>
      <c r="V84" s="43" t="str">
        <f>IF(AND('Mapa final'!$AB$91="Alta",'Mapa final'!$AD$91="Catastrófico"),CONCATENATE("R29C",'Mapa final'!$R$91),"")</f>
        <v/>
      </c>
      <c r="W84" s="44" t="str">
        <f>IF(AND('Mapa final'!$AB$92="Alta",'Mapa final'!$AD$92="Catastrófico"),CONCATENATE("R29C",'Mapa final'!$R$92),"")</f>
        <v/>
      </c>
      <c r="X84" s="100" t="str">
        <f>IF(AND('Mapa final'!$AB$93="Alta",'Mapa final'!$AD$93="Catastrófico"),CONCATENATE("R29C",'Mapa final'!$R$93),"")</f>
        <v/>
      </c>
      <c r="Y84" s="56"/>
      <c r="Z84" s="282"/>
      <c r="AA84" s="283"/>
      <c r="AB84" s="283"/>
      <c r="AC84" s="283"/>
      <c r="AD84" s="283"/>
      <c r="AE84" s="284"/>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row>
    <row r="85" spans="1:61" ht="15" customHeight="1" x14ac:dyDescent="0.35">
      <c r="A85" s="56"/>
      <c r="B85" s="300"/>
      <c r="C85" s="300"/>
      <c r="D85" s="301"/>
      <c r="E85" s="289"/>
      <c r="F85" s="290"/>
      <c r="G85" s="290"/>
      <c r="H85" s="290"/>
      <c r="I85" s="288"/>
      <c r="J85" s="49" t="str">
        <f>IF(AND('Mapa final'!$AB$94="Alta",'Mapa final'!$AD$94="Leve"),CONCATENATE("R30C",'Mapa final'!$R$94),"")</f>
        <v/>
      </c>
      <c r="K85" s="50" t="str">
        <f>IF(AND('Mapa final'!$AB$95="Alta",'Mapa final'!$AD$95="Leve"),CONCATENATE("R30C",'Mapa final'!$R$95),"")</f>
        <v/>
      </c>
      <c r="L85" s="111" t="str">
        <f>IF(AND('Mapa final'!$AB$96="Alta",'Mapa final'!$AD$96="Leve"),CONCATENATE("R30C",'Mapa final'!$R$96),"")</f>
        <v/>
      </c>
      <c r="M85" s="49" t="str">
        <f>IF(AND('Mapa final'!$AB$94="Alta",'Mapa final'!$AD$94="Menor"),CONCATENATE("R30C",'Mapa final'!$R$94),"")</f>
        <v/>
      </c>
      <c r="N85" s="50" t="str">
        <f>IF(AND('Mapa final'!$AB$95="Alta",'Mapa final'!$AD$95="Menor"),CONCATENATE("R30C",'Mapa final'!$R$95),"")</f>
        <v/>
      </c>
      <c r="O85" s="111" t="str">
        <f>IF(AND('Mapa final'!$AB$96="Alta",'Mapa final'!$AD$96="Menor"),CONCATENATE("R30C",'Mapa final'!$R$96),"")</f>
        <v/>
      </c>
      <c r="P85" s="105" t="str">
        <f>IF(AND('Mapa final'!$AB$94="Alta",'Mapa final'!$AD$94="Moderado"),CONCATENATE("R30C",'Mapa final'!$R$94),"")</f>
        <v/>
      </c>
      <c r="Q85" s="42" t="str">
        <f>IF(AND('Mapa final'!$AB$95="Alta",'Mapa final'!$AD$95="Moderado"),CONCATENATE("R30C",'Mapa final'!$R$95),"")</f>
        <v/>
      </c>
      <c r="R85" s="106" t="str">
        <f>IF(AND('Mapa final'!$AB$96="Alta",'Mapa final'!$AD$96="Moderado"),CONCATENATE("R30C",'Mapa final'!$R$96),"")</f>
        <v/>
      </c>
      <c r="S85" s="105" t="str">
        <f>IF(AND('Mapa final'!$AB$94="Alta",'Mapa final'!$AD$94="Mayor"),CONCATENATE("R30C",'Mapa final'!$R$94),"")</f>
        <v/>
      </c>
      <c r="T85" s="42" t="str">
        <f>IF(AND('Mapa final'!$AB$95="Alta",'Mapa final'!$AD$95="Mayor"),CONCATENATE("R30C",'Mapa final'!$R$95),"")</f>
        <v/>
      </c>
      <c r="U85" s="106" t="str">
        <f>IF(AND('Mapa final'!$AB$96="Alta",'Mapa final'!$AD$96="Mayor"),CONCATENATE("R30C",'Mapa final'!$R$96),"")</f>
        <v/>
      </c>
      <c r="V85" s="43" t="str">
        <f>IF(AND('Mapa final'!$AB$94="Alta",'Mapa final'!$AD$94="Catastrófico"),CONCATENATE("R30C",'Mapa final'!$R$94),"")</f>
        <v/>
      </c>
      <c r="W85" s="44" t="str">
        <f>IF(AND('Mapa final'!$AB$95="Alta",'Mapa final'!$AD$95="Catastrófico"),CONCATENATE("R30C",'Mapa final'!$R$95),"")</f>
        <v/>
      </c>
      <c r="X85" s="100" t="str">
        <f>IF(AND('Mapa final'!$AB$96="Alta",'Mapa final'!$AD$96="Catastrófico"),CONCATENATE("R30C",'Mapa final'!$R$96),"")</f>
        <v/>
      </c>
      <c r="Y85" s="56"/>
      <c r="Z85" s="282"/>
      <c r="AA85" s="283"/>
      <c r="AB85" s="283"/>
      <c r="AC85" s="283"/>
      <c r="AD85" s="283"/>
      <c r="AE85" s="284"/>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row>
    <row r="86" spans="1:61" ht="15" customHeight="1" x14ac:dyDescent="0.35">
      <c r="A86" s="56"/>
      <c r="B86" s="300"/>
      <c r="C86" s="300"/>
      <c r="D86" s="301"/>
      <c r="E86" s="289"/>
      <c r="F86" s="290"/>
      <c r="G86" s="290"/>
      <c r="H86" s="290"/>
      <c r="I86" s="288"/>
      <c r="J86" s="49" t="str">
        <f>IF(AND('Mapa final'!$AB$97="Alta",'Mapa final'!$AD$97="Leve"),CONCATENATE("R31C",'Mapa final'!$R$97),"")</f>
        <v/>
      </c>
      <c r="K86" s="50" t="str">
        <f>IF(AND('Mapa final'!$AB$98="Alta",'Mapa final'!$AD$98="Leve"),CONCATENATE("R31C",'Mapa final'!$R$98),"")</f>
        <v/>
      </c>
      <c r="L86" s="111" t="str">
        <f>IF(AND('Mapa final'!$AB$99="Alta",'Mapa final'!$AD$99="Leve"),CONCATENATE("R31C",'Mapa final'!$R$99),"")</f>
        <v/>
      </c>
      <c r="M86" s="49" t="str">
        <f>IF(AND('Mapa final'!$AB$97="Alta",'Mapa final'!$AD$97="Menor"),CONCATENATE("R31C",'Mapa final'!$R$97),"")</f>
        <v/>
      </c>
      <c r="N86" s="50" t="str">
        <f>IF(AND('Mapa final'!$AB$98="Alta",'Mapa final'!$AD$98="Menor"),CONCATENATE("R31C",'Mapa final'!$R$98),"")</f>
        <v/>
      </c>
      <c r="O86" s="111" t="str">
        <f>IF(AND('Mapa final'!$AB$99="Alta",'Mapa final'!$AD$99="Menor"),CONCATENATE("R31C",'Mapa final'!$R$99),"")</f>
        <v/>
      </c>
      <c r="P86" s="105" t="str">
        <f>IF(AND('Mapa final'!$AB$97="Alta",'Mapa final'!$AD$97="Moderado"),CONCATENATE("R31C",'Mapa final'!$R$97),"")</f>
        <v/>
      </c>
      <c r="Q86" s="42" t="str">
        <f>IF(AND('Mapa final'!$AB$98="Alta",'Mapa final'!$AD$98="Moderado"),CONCATENATE("R31C",'Mapa final'!$R$98),"")</f>
        <v/>
      </c>
      <c r="R86" s="106" t="str">
        <f>IF(AND('Mapa final'!$AB$99="Alta",'Mapa final'!$AD$99="Moderado"),CONCATENATE("R31C",'Mapa final'!$R$99),"")</f>
        <v/>
      </c>
      <c r="S86" s="105" t="str">
        <f>IF(AND('Mapa final'!$AB$97="Alta",'Mapa final'!$AD$97="Mayor"),CONCATENATE("R31C",'Mapa final'!$R$97),"")</f>
        <v/>
      </c>
      <c r="T86" s="42" t="str">
        <f>IF(AND('Mapa final'!$AB$98="Alta",'Mapa final'!$AD$98="Mayor"),CONCATENATE("R31C",'Mapa final'!$R$98),"")</f>
        <v/>
      </c>
      <c r="U86" s="106" t="str">
        <f>IF(AND('Mapa final'!$AB$99="Alta",'Mapa final'!$AD$99="Mayor"),CONCATENATE("R31C",'Mapa final'!$R$99),"")</f>
        <v/>
      </c>
      <c r="V86" s="43" t="str">
        <f>IF(AND('Mapa final'!$AB$97="Alta",'Mapa final'!$AD$97="Catastrófico"),CONCATENATE("R31C",'Mapa final'!$R$97),"")</f>
        <v/>
      </c>
      <c r="W86" s="44" t="str">
        <f>IF(AND('Mapa final'!$AB$98="Alta",'Mapa final'!$AD$98="Catastrófico"),CONCATENATE("R31C",'Mapa final'!$R$98),"")</f>
        <v/>
      </c>
      <c r="X86" s="100" t="str">
        <f>IF(AND('Mapa final'!$AB$99="Alta",'Mapa final'!$AD$99="Catastrófico"),CONCATENATE("R31C",'Mapa final'!$R$99),"")</f>
        <v/>
      </c>
      <c r="Y86" s="56"/>
      <c r="Z86" s="282"/>
      <c r="AA86" s="283"/>
      <c r="AB86" s="283"/>
      <c r="AC86" s="283"/>
      <c r="AD86" s="283"/>
      <c r="AE86" s="284"/>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row>
    <row r="87" spans="1:61" ht="15" customHeight="1" x14ac:dyDescent="0.35">
      <c r="A87" s="56"/>
      <c r="B87" s="300"/>
      <c r="C87" s="300"/>
      <c r="D87" s="301"/>
      <c r="E87" s="289"/>
      <c r="F87" s="290"/>
      <c r="G87" s="290"/>
      <c r="H87" s="290"/>
      <c r="I87" s="288"/>
      <c r="J87" s="49" t="e">
        <f>IF(AND('Mapa final'!#REF!="Alta",'Mapa final'!#REF!="Leve"),CONCATENATE("R32C",'Mapa final'!#REF!),"")</f>
        <v>#REF!</v>
      </c>
      <c r="K87" s="50" t="e">
        <f>IF(AND('Mapa final'!#REF!="Alta",'Mapa final'!#REF!="Leve"),CONCATENATE("R32C",'Mapa final'!#REF!),"")</f>
        <v>#REF!</v>
      </c>
      <c r="L87" s="111" t="e">
        <f>IF(AND('Mapa final'!#REF!="Alta",'Mapa final'!#REF!="Leve"),CONCATENATE("R32C",'Mapa final'!#REF!),"")</f>
        <v>#REF!</v>
      </c>
      <c r="M87" s="49" t="e">
        <f>IF(AND('Mapa final'!#REF!="Alta",'Mapa final'!#REF!="Menor"),CONCATENATE("R32C",'Mapa final'!#REF!),"")</f>
        <v>#REF!</v>
      </c>
      <c r="N87" s="50" t="e">
        <f>IF(AND('Mapa final'!#REF!="Alta",'Mapa final'!#REF!="Menor"),CONCATENATE("R32C",'Mapa final'!#REF!),"")</f>
        <v>#REF!</v>
      </c>
      <c r="O87" s="111" t="e">
        <f>IF(AND('Mapa final'!#REF!="Alta",'Mapa final'!#REF!="Menor"),CONCATENATE("R32C",'Mapa final'!#REF!),"")</f>
        <v>#REF!</v>
      </c>
      <c r="P87" s="105" t="e">
        <f>IF(AND('Mapa final'!#REF!="Alta",'Mapa final'!#REF!="Moderado"),CONCATENATE("R32C",'Mapa final'!#REF!),"")</f>
        <v>#REF!</v>
      </c>
      <c r="Q87" s="42" t="e">
        <f>IF(AND('Mapa final'!#REF!="Alta",'Mapa final'!#REF!="Moderado"),CONCATENATE("R32C",'Mapa final'!#REF!),"")</f>
        <v>#REF!</v>
      </c>
      <c r="R87" s="42" t="e">
        <f>IF(AND('Mapa final'!#REF!="Alta",'Mapa final'!#REF!="Moderado"),CONCATENATE("R32C",'Mapa final'!#REF!),"")</f>
        <v>#REF!</v>
      </c>
      <c r="S87" s="105" t="e">
        <f>IF(AND('Mapa final'!#REF!="Alta",'Mapa final'!#REF!="Mayor"),CONCATENATE("R32C",'Mapa final'!#REF!),"")</f>
        <v>#REF!</v>
      </c>
      <c r="T87" s="42" t="e">
        <f>IF(AND('Mapa final'!#REF!="Alta",'Mapa final'!#REF!="Mayor"),CONCATENATE("R32C",'Mapa final'!#REF!),"")</f>
        <v>#REF!</v>
      </c>
      <c r="U87" s="106" t="e">
        <f>IF(AND('Mapa final'!#REF!="Alta",'Mapa final'!#REF!="Mayor"),CONCATENATE("R32C",'Mapa final'!#REF!),"")</f>
        <v>#REF!</v>
      </c>
      <c r="V87" s="43" t="e">
        <f>IF(AND('Mapa final'!#REF!="Alta",'Mapa final'!#REF!="Catastrófico"),CONCATENATE("R32C",'Mapa final'!#REF!),"")</f>
        <v>#REF!</v>
      </c>
      <c r="W87" s="44" t="e">
        <f>IF(AND('Mapa final'!#REF!="Alta",'Mapa final'!#REF!="Catastrófico"),CONCATENATE("R32C",'Mapa final'!#REF!),"")</f>
        <v>#REF!</v>
      </c>
      <c r="X87" s="100" t="e">
        <f>IF(AND('Mapa final'!#REF!="Alta",'Mapa final'!#REF!="Catastrófico"),CONCATENATE("R32C",'Mapa final'!#REF!),"")</f>
        <v>#REF!</v>
      </c>
      <c r="Y87" s="56"/>
      <c r="Z87" s="282"/>
      <c r="AA87" s="283"/>
      <c r="AB87" s="283"/>
      <c r="AC87" s="283"/>
      <c r="AD87" s="283"/>
      <c r="AE87" s="284"/>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row>
    <row r="88" spans="1:61" ht="15" customHeight="1" x14ac:dyDescent="0.35">
      <c r="A88" s="56"/>
      <c r="B88" s="300"/>
      <c r="C88" s="300"/>
      <c r="D88" s="301"/>
      <c r="E88" s="289"/>
      <c r="F88" s="290"/>
      <c r="G88" s="290"/>
      <c r="H88" s="290"/>
      <c r="I88" s="288"/>
      <c r="J88" s="49" t="str">
        <f>IF(AND('Mapa final'!$AB$100="Alta",'Mapa final'!$AD$100="Leve"),CONCATENATE("R33C",'Mapa final'!$R$100),"")</f>
        <v/>
      </c>
      <c r="K88" s="50" t="str">
        <f>IF(AND('Mapa final'!$AB$101="Alta",'Mapa final'!$AD$101="Leve"),CONCATENATE("R33C",'Mapa final'!$R$101),"")</f>
        <v/>
      </c>
      <c r="L88" s="111" t="str">
        <f>IF(AND('Mapa final'!$AB$102="Alta",'Mapa final'!$AD$102="Leve"),CONCATENATE("R33C",'Mapa final'!$R$102),"")</f>
        <v/>
      </c>
      <c r="M88" s="49" t="str">
        <f>IF(AND('Mapa final'!$AB$100="Alta",'Mapa final'!$AD$100="Menor"),CONCATENATE("R33C",'Mapa final'!$R$100),"")</f>
        <v/>
      </c>
      <c r="N88" s="50" t="str">
        <f>IF(AND('Mapa final'!$AB$101="Alta",'Mapa final'!$AD$101="Menor"),CONCATENATE("R33C",'Mapa final'!$R$101),"")</f>
        <v/>
      </c>
      <c r="O88" s="111" t="str">
        <f>IF(AND('Mapa final'!$AB$102="Alta",'Mapa final'!$AD$102="Menor"),CONCATENATE("R33C",'Mapa final'!$R$102),"")</f>
        <v/>
      </c>
      <c r="P88" s="105" t="str">
        <f>IF(AND('Mapa final'!$AB$100="Alta",'Mapa final'!$AD$100="Moderado"),CONCATENATE("R33C",'Mapa final'!$R$100),"")</f>
        <v/>
      </c>
      <c r="Q88" s="42" t="str">
        <f>IF(AND('Mapa final'!$AB$101="Alta",'Mapa final'!$AD$101="Moderado"),CONCATENATE("R33C",'Mapa final'!$R$101),"")</f>
        <v/>
      </c>
      <c r="R88" s="42" t="str">
        <f>IF(AND('Mapa final'!$AB$102="Alta",'Mapa final'!$AD$102="Moderado"),CONCATENATE("R33C",'Mapa final'!$R$102),"")</f>
        <v/>
      </c>
      <c r="S88" s="105" t="str">
        <f>IF(AND('Mapa final'!$AB$100="Alta",'Mapa final'!$AD$100="Mayor"),CONCATENATE("R33C",'Mapa final'!$R$100),"")</f>
        <v/>
      </c>
      <c r="T88" s="42" t="str">
        <f>IF(AND('Mapa final'!$AB$101="Alta",'Mapa final'!$AD$101="Mayor"),CONCATENATE("R33C",'Mapa final'!$R$101),"")</f>
        <v/>
      </c>
      <c r="U88" s="106" t="str">
        <f>IF(AND('Mapa final'!$AB$102="Alta",'Mapa final'!$AD$102="Mayor"),CONCATENATE("R33C",'Mapa final'!$R$102),"")</f>
        <v/>
      </c>
      <c r="V88" s="43" t="str">
        <f>IF(AND('Mapa final'!$AB$100="Alta",'Mapa final'!$AD$100="Catastrófico"),CONCATENATE("R33C",'Mapa final'!$R$100),"")</f>
        <v/>
      </c>
      <c r="W88" s="44" t="str">
        <f>IF(AND('Mapa final'!$AB$101="Alta",'Mapa final'!$AD$101="Catastrófico"),CONCATENATE("R33C",'Mapa final'!$R$101),"")</f>
        <v/>
      </c>
      <c r="X88" s="100" t="str">
        <f>IF(AND('Mapa final'!$AB$102="Alta",'Mapa final'!$AD$102="Catastrófico"),CONCATENATE("R33C",'Mapa final'!$R$102),"")</f>
        <v/>
      </c>
      <c r="Y88" s="56"/>
      <c r="Z88" s="282"/>
      <c r="AA88" s="283"/>
      <c r="AB88" s="283"/>
      <c r="AC88" s="283"/>
      <c r="AD88" s="283"/>
      <c r="AE88" s="284"/>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row>
    <row r="89" spans="1:61" ht="15" customHeight="1" x14ac:dyDescent="0.35">
      <c r="A89" s="56"/>
      <c r="B89" s="300"/>
      <c r="C89" s="300"/>
      <c r="D89" s="301"/>
      <c r="E89" s="289"/>
      <c r="F89" s="290"/>
      <c r="G89" s="290"/>
      <c r="H89" s="290"/>
      <c r="I89" s="288"/>
      <c r="J89" s="49" t="str">
        <f>IF(AND('Mapa final'!$AB$103="Alta",'Mapa final'!$AD$103="Leve"),CONCATENATE("R34C",'Mapa final'!$R$103),"")</f>
        <v/>
      </c>
      <c r="K89" s="50" t="str">
        <f>IF(AND('Mapa final'!$AB$104="Alta",'Mapa final'!$AD$104="Leve"),CONCATENATE("R34C",'Mapa final'!$R$104),"")</f>
        <v/>
      </c>
      <c r="L89" s="111" t="str">
        <f>IF(AND('Mapa final'!$AB$105="Alta",'Mapa final'!$AD$105="Leve"),CONCATENATE("R34C",'Mapa final'!$R$105),"")</f>
        <v/>
      </c>
      <c r="M89" s="49" t="str">
        <f>IF(AND('Mapa final'!$AB$103="Alta",'Mapa final'!$AD$103="Menor"),CONCATENATE("R34C",'Mapa final'!$R$103),"")</f>
        <v/>
      </c>
      <c r="N89" s="50" t="str">
        <f>IF(AND('Mapa final'!$AB$104="Alta",'Mapa final'!$AD$104="Menor"),CONCATENATE("R34C",'Mapa final'!$R$104),"")</f>
        <v/>
      </c>
      <c r="O89" s="111" t="str">
        <f>IF(AND('Mapa final'!$AB$105="Alta",'Mapa final'!$AD$105="Menor"),CONCATENATE("R34C",'Mapa final'!$R$105),"")</f>
        <v/>
      </c>
      <c r="P89" s="105" t="str">
        <f>IF(AND('Mapa final'!$AB$103="Alta",'Mapa final'!$AD$103="Moderado"),CONCATENATE("R34C",'Mapa final'!$R$103),"")</f>
        <v/>
      </c>
      <c r="Q89" s="42" t="str">
        <f>IF(AND('Mapa final'!$AB$104="Alta",'Mapa final'!$AD$104="Moderado"),CONCATENATE("R34C",'Mapa final'!$R$104),"")</f>
        <v/>
      </c>
      <c r="R89" s="106" t="str">
        <f>IF(AND('Mapa final'!$AB$105="Alta",'Mapa final'!$AD$105="Moderado"),CONCATENATE("R34C",'Mapa final'!$R$105),"")</f>
        <v/>
      </c>
      <c r="S89" s="105" t="str">
        <f>IF(AND('Mapa final'!$AB$103="Alta",'Mapa final'!$AD$103="Mayor"),CONCATENATE("R34C",'Mapa final'!$R$103),"")</f>
        <v/>
      </c>
      <c r="T89" s="42" t="str">
        <f>IF(AND('Mapa final'!$AB$104="Alta",'Mapa final'!$AD$104="Mayor"),CONCATENATE("R34C",'Mapa final'!$R$104),"")</f>
        <v/>
      </c>
      <c r="U89" s="106" t="str">
        <f>IF(AND('Mapa final'!$AB$105="Alta",'Mapa final'!$AD$105="Mayor"),CONCATENATE("R34C",'Mapa final'!$R$105),"")</f>
        <v/>
      </c>
      <c r="V89" s="43" t="str">
        <f>IF(AND('Mapa final'!$AB$103="Alta",'Mapa final'!$AD$103="Catastrófico"),CONCATENATE("R34C",'Mapa final'!$R$103),"")</f>
        <v/>
      </c>
      <c r="W89" s="44" t="str">
        <f>IF(AND('Mapa final'!$AB$104="Alta",'Mapa final'!$AD$104="Catastrófico"),CONCATENATE("R34C",'Mapa final'!$R$104),"")</f>
        <v/>
      </c>
      <c r="X89" s="100" t="str">
        <f>IF(AND('Mapa final'!$AB$105="Alta",'Mapa final'!$AD$105="Catastrófico"),CONCATENATE("R34C",'Mapa final'!$R$105),"")</f>
        <v/>
      </c>
      <c r="Y89" s="56"/>
      <c r="Z89" s="282"/>
      <c r="AA89" s="283"/>
      <c r="AB89" s="283"/>
      <c r="AC89" s="283"/>
      <c r="AD89" s="283"/>
      <c r="AE89" s="284"/>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row>
    <row r="90" spans="1:61" ht="15" customHeight="1" x14ac:dyDescent="0.35">
      <c r="A90" s="56"/>
      <c r="B90" s="300"/>
      <c r="C90" s="300"/>
      <c r="D90" s="301"/>
      <c r="E90" s="289"/>
      <c r="F90" s="290"/>
      <c r="G90" s="290"/>
      <c r="H90" s="290"/>
      <c r="I90" s="288"/>
      <c r="J90" s="49" t="str">
        <f>IF(AND('Mapa final'!$AB$106="Alta",'Mapa final'!$AD$106="Leve"),CONCATENATE("R35C",'Mapa final'!$R$106),"")</f>
        <v/>
      </c>
      <c r="K90" s="50" t="str">
        <f>IF(AND('Mapa final'!$AB$107="Alta",'Mapa final'!$AD$107="Leve"),CONCATENATE("R35C",'Mapa final'!$R$107),"")</f>
        <v/>
      </c>
      <c r="L90" s="111" t="str">
        <f>IF(AND('Mapa final'!$AB$108="Alta",'Mapa final'!$AD$108="Leve"),CONCATENATE("R35C",'Mapa final'!$R$108),"")</f>
        <v/>
      </c>
      <c r="M90" s="49" t="str">
        <f>IF(AND('Mapa final'!$AB$106="Alta",'Mapa final'!$AD$106="Menor"),CONCATENATE("R35C",'Mapa final'!$R$106),"")</f>
        <v/>
      </c>
      <c r="N90" s="50" t="str">
        <f>IF(AND('Mapa final'!$AB$107="Alta",'Mapa final'!$AD$107="Menor"),CONCATENATE("R35C",'Mapa final'!$R$107),"")</f>
        <v/>
      </c>
      <c r="O90" s="111" t="str">
        <f>IF(AND('Mapa final'!$AB$108="Alta",'Mapa final'!$AD$108="Menor"),CONCATENATE("R35C",'Mapa final'!$R$108),"")</f>
        <v/>
      </c>
      <c r="P90" s="105" t="str">
        <f>IF(AND('Mapa final'!$AB$106="Alta",'Mapa final'!$AD$106="Moderado"),CONCATENATE("R35C",'Mapa final'!$R$106),"")</f>
        <v/>
      </c>
      <c r="Q90" s="42" t="str">
        <f>IF(AND('Mapa final'!$AB$107="Alta",'Mapa final'!$AD$107="Moderado"),CONCATENATE("R35C",'Mapa final'!$R$107),"")</f>
        <v/>
      </c>
      <c r="R90" s="106" t="str">
        <f>IF(AND('Mapa final'!$AB$108="Alta",'Mapa final'!$AD$108="Moderado"),CONCATENATE("R35C",'Mapa final'!$R$108),"")</f>
        <v/>
      </c>
      <c r="S90" s="105" t="str">
        <f>IF(AND('Mapa final'!$AB$106="Alta",'Mapa final'!$AD$106="Mayor"),CONCATENATE("R35C",'Mapa final'!$R$106),"")</f>
        <v/>
      </c>
      <c r="T90" s="42" t="str">
        <f>IF(AND('Mapa final'!$AB$107="Alta",'Mapa final'!$AD$107="Mayor"),CONCATENATE("R35C",'Mapa final'!$R$107),"")</f>
        <v/>
      </c>
      <c r="U90" s="106" t="str">
        <f>IF(AND('Mapa final'!$AB$108="Alta",'Mapa final'!$AD$108="Mayor"),CONCATENATE("R35C",'Mapa final'!$R$108),"")</f>
        <v/>
      </c>
      <c r="V90" s="43" t="str">
        <f>IF(AND('Mapa final'!$AB$106="Alta",'Mapa final'!$AD$106="Catastrófico"),CONCATENATE("R35C",'Mapa final'!$R$106),"")</f>
        <v/>
      </c>
      <c r="W90" s="44" t="str">
        <f>IF(AND('Mapa final'!$AB$107="Alta",'Mapa final'!$AD$107="Catastrófico"),CONCATENATE("R35C",'Mapa final'!$R$107),"")</f>
        <v/>
      </c>
      <c r="X90" s="100" t="str">
        <f>IF(AND('Mapa final'!$AB$108="Alta",'Mapa final'!$AD$108="Catastrófico"),CONCATENATE("R35C",'Mapa final'!$R$108),"")</f>
        <v/>
      </c>
      <c r="Y90" s="56"/>
      <c r="Z90" s="282"/>
      <c r="AA90" s="283"/>
      <c r="AB90" s="283"/>
      <c r="AC90" s="283"/>
      <c r="AD90" s="283"/>
      <c r="AE90" s="284"/>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row>
    <row r="91" spans="1:61" ht="15" customHeight="1" x14ac:dyDescent="0.35">
      <c r="A91" s="56"/>
      <c r="B91" s="300"/>
      <c r="C91" s="300"/>
      <c r="D91" s="301"/>
      <c r="E91" s="289"/>
      <c r="F91" s="290"/>
      <c r="G91" s="290"/>
      <c r="H91" s="290"/>
      <c r="I91" s="288"/>
      <c r="J91" s="49" t="str">
        <f>IF(AND('Mapa final'!$AB$109="Alta",'Mapa final'!$AD$109="Leve"),CONCATENATE("R36C",'Mapa final'!$R$109),"")</f>
        <v/>
      </c>
      <c r="K91" s="50" t="str">
        <f>IF(AND('Mapa final'!$AB$110="Alta",'Mapa final'!$AD$110="Leve"),CONCATENATE("R36C",'Mapa final'!$R$110),"")</f>
        <v/>
      </c>
      <c r="L91" s="111" t="str">
        <f>IF(AND('Mapa final'!$AB$111="Alta",'Mapa final'!$AD$111="Leve"),CONCATENATE("R36C",'Mapa final'!$R$111),"")</f>
        <v/>
      </c>
      <c r="M91" s="49" t="str">
        <f>IF(AND('Mapa final'!$AB$109="Alta",'Mapa final'!$AD$109="Menor"),CONCATENATE("R36C",'Mapa final'!$R$109),"")</f>
        <v/>
      </c>
      <c r="N91" s="50" t="str">
        <f>IF(AND('Mapa final'!$AB$110="Alta",'Mapa final'!$AD$110="Menor"),CONCATENATE("R36C",'Mapa final'!$R$110),"")</f>
        <v/>
      </c>
      <c r="O91" s="111" t="str">
        <f>IF(AND('Mapa final'!$AB$111="Alta",'Mapa final'!$AD$111="Menor"),CONCATENATE("R36C",'Mapa final'!$R$111),"")</f>
        <v/>
      </c>
      <c r="P91" s="105" t="str">
        <f>IF(AND('Mapa final'!$AB$109="Alta",'Mapa final'!$AD$109="Moderado"),CONCATENATE("R36C",'Mapa final'!$R$109),"")</f>
        <v/>
      </c>
      <c r="Q91" s="42" t="str">
        <f>IF(AND('Mapa final'!$AB$110="Alta",'Mapa final'!$AD$110="Moderado"),CONCATENATE("R36C",'Mapa final'!$R$110),"")</f>
        <v/>
      </c>
      <c r="R91" s="106" t="str">
        <f>IF(AND('Mapa final'!$AB$111="Alta",'Mapa final'!$AD$111="Moderado"),CONCATENATE("R36C",'Mapa final'!$R$111),"")</f>
        <v/>
      </c>
      <c r="S91" s="105" t="str">
        <f>IF(AND('Mapa final'!$AB$109="Alta",'Mapa final'!$AD$109="Mayor"),CONCATENATE("R36C",'Mapa final'!$R$109),"")</f>
        <v/>
      </c>
      <c r="T91" s="42" t="str">
        <f>IF(AND('Mapa final'!$AB$110="Alta",'Mapa final'!$AD$110="Mayor"),CONCATENATE("R36C",'Mapa final'!$R$110),"")</f>
        <v/>
      </c>
      <c r="U91" s="106" t="str">
        <f>IF(AND('Mapa final'!$AB$111="Alta",'Mapa final'!$AD$111="Mayor"),CONCATENATE("R36C",'Mapa final'!$R$111),"")</f>
        <v/>
      </c>
      <c r="V91" s="43" t="str">
        <f>IF(AND('Mapa final'!$AB$109="Alta",'Mapa final'!$AD$109="Catastrófico"),CONCATENATE("R36C",'Mapa final'!$R$109),"")</f>
        <v/>
      </c>
      <c r="W91" s="44" t="str">
        <f>IF(AND('Mapa final'!$AB$110="Alta",'Mapa final'!$AD$110="Catastrófico"),CONCATENATE("R36C",'Mapa final'!$R$110),"")</f>
        <v/>
      </c>
      <c r="X91" s="100" t="str">
        <f>IF(AND('Mapa final'!$AB$111="Alta",'Mapa final'!$AD$111="Catastrófico"),CONCATENATE("R36C",'Mapa final'!$R$111),"")</f>
        <v/>
      </c>
      <c r="Y91" s="56"/>
      <c r="Z91" s="282"/>
      <c r="AA91" s="283"/>
      <c r="AB91" s="283"/>
      <c r="AC91" s="283"/>
      <c r="AD91" s="283"/>
      <c r="AE91" s="284"/>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row>
    <row r="92" spans="1:61" ht="15" customHeight="1" x14ac:dyDescent="0.35">
      <c r="A92" s="56"/>
      <c r="B92" s="300"/>
      <c r="C92" s="300"/>
      <c r="D92" s="301"/>
      <c r="E92" s="289"/>
      <c r="F92" s="290"/>
      <c r="G92" s="290"/>
      <c r="H92" s="290"/>
      <c r="I92" s="288"/>
      <c r="J92" s="49" t="str">
        <f>IF(AND('Mapa final'!$AB$112="Alta",'Mapa final'!$AD$112="Leve"),CONCATENATE("R37C",'Mapa final'!$R$112),"")</f>
        <v/>
      </c>
      <c r="K92" s="50" t="str">
        <f>IF(AND('Mapa final'!$AB$113="Alta",'Mapa final'!$AD$113="Leve"),CONCATENATE("R37C",'Mapa final'!$R$113),"")</f>
        <v/>
      </c>
      <c r="L92" s="111" t="str">
        <f>IF(AND('Mapa final'!$AB$114="Alta",'Mapa final'!$AD$114="Leve"),CONCATENATE("R37C",'Mapa final'!$R$114),"")</f>
        <v/>
      </c>
      <c r="M92" s="49" t="str">
        <f>IF(AND('Mapa final'!$AB$112="Alta",'Mapa final'!$AD$112="Menor"),CONCATENATE("R37C",'Mapa final'!$R$112),"")</f>
        <v/>
      </c>
      <c r="N92" s="50" t="str">
        <f>IF(AND('Mapa final'!$AB$113="Alta",'Mapa final'!$AD$113="Menor"),CONCATENATE("R37C",'Mapa final'!$R$113),"")</f>
        <v/>
      </c>
      <c r="O92" s="111" t="str">
        <f>IF(AND('Mapa final'!$AB$114="Alta",'Mapa final'!$AD$114="Menor"),CONCATENATE("R37C",'Mapa final'!$R$114),"")</f>
        <v/>
      </c>
      <c r="P92" s="105" t="str">
        <f>IF(AND('Mapa final'!$AB$112="Alta",'Mapa final'!$AD$112="Moderado"),CONCATENATE("R37C",'Mapa final'!$R$112),"")</f>
        <v/>
      </c>
      <c r="Q92" s="42" t="str">
        <f>IF(AND('Mapa final'!$AB$113="Alta",'Mapa final'!$AD$113="Moderado"),CONCATENATE("R37C",'Mapa final'!$R$113),"")</f>
        <v/>
      </c>
      <c r="R92" s="106" t="str">
        <f>IF(AND('Mapa final'!$AB$114="Alta",'Mapa final'!$AD$114="Moderado"),CONCATENATE("R37C",'Mapa final'!$R$114),"")</f>
        <v/>
      </c>
      <c r="S92" s="105" t="str">
        <f>IF(AND('Mapa final'!$AB$112="Alta",'Mapa final'!$AD$112="Mayor"),CONCATENATE("R37C",'Mapa final'!$R$112),"")</f>
        <v/>
      </c>
      <c r="T92" s="42" t="str">
        <f>IF(AND('Mapa final'!$AB$113="Alta",'Mapa final'!$AD$113="Mayor"),CONCATENATE("R37C",'Mapa final'!$R$113),"")</f>
        <v/>
      </c>
      <c r="U92" s="106" t="str">
        <f>IF(AND('Mapa final'!$AB$114="Alta",'Mapa final'!$AD$114="Mayor"),CONCATENATE("R37C",'Mapa final'!$R$114),"")</f>
        <v/>
      </c>
      <c r="V92" s="43" t="str">
        <f>IF(AND('Mapa final'!$AB$112="Alta",'Mapa final'!$AD$112="Catastrófico"),CONCATENATE("R37C",'Mapa final'!$R$112),"")</f>
        <v/>
      </c>
      <c r="W92" s="44" t="str">
        <f>IF(AND('Mapa final'!$AB$113="Alta",'Mapa final'!$AD$113="Catastrófico"),CONCATENATE("R37C",'Mapa final'!$R$113),"")</f>
        <v/>
      </c>
      <c r="X92" s="100" t="str">
        <f>IF(AND('Mapa final'!$AB$114="Alta",'Mapa final'!$AD$114="Catastrófico"),CONCATENATE("R37C",'Mapa final'!$R$114),"")</f>
        <v/>
      </c>
      <c r="Y92" s="56"/>
      <c r="Z92" s="282"/>
      <c r="AA92" s="283"/>
      <c r="AB92" s="283"/>
      <c r="AC92" s="283"/>
      <c r="AD92" s="283"/>
      <c r="AE92" s="284"/>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row>
    <row r="93" spans="1:61" ht="15" customHeight="1" x14ac:dyDescent="0.35">
      <c r="A93" s="56"/>
      <c r="B93" s="300"/>
      <c r="C93" s="300"/>
      <c r="D93" s="301"/>
      <c r="E93" s="289"/>
      <c r="F93" s="290"/>
      <c r="G93" s="290"/>
      <c r="H93" s="290"/>
      <c r="I93" s="288"/>
      <c r="J93" s="49" t="str">
        <f>IF(AND('Mapa final'!$AB$115="Alta",'Mapa final'!$AD$115="Leve"),CONCATENATE("R38C",'Mapa final'!$R$115),"")</f>
        <v/>
      </c>
      <c r="K93" s="50" t="str">
        <f>IF(AND('Mapa final'!$AB$116="Alta",'Mapa final'!$AD$116="Leve"),CONCATENATE("R38C",'Mapa final'!$R$116),"")</f>
        <v/>
      </c>
      <c r="L93" s="111" t="str">
        <f>IF(AND('Mapa final'!$AB$117="Alta",'Mapa final'!$AD$117="Leve"),CONCATENATE("R38C",'Mapa final'!$R$117),"")</f>
        <v/>
      </c>
      <c r="M93" s="49" t="str">
        <f>IF(AND('Mapa final'!$AB$115="Alta",'Mapa final'!$AD$115="Menor"),CONCATENATE("R38C",'Mapa final'!$R$115),"")</f>
        <v/>
      </c>
      <c r="N93" s="50" t="str">
        <f>IF(AND('Mapa final'!$AB$116="Alta",'Mapa final'!$AD$116="Menor"),CONCATENATE("R38C",'Mapa final'!$R$116),"")</f>
        <v/>
      </c>
      <c r="O93" s="111" t="str">
        <f>IF(AND('Mapa final'!$AB$117="Alta",'Mapa final'!$AD$117="Menor"),CONCATENATE("R38C",'Mapa final'!$R$117),"")</f>
        <v/>
      </c>
      <c r="P93" s="105" t="str">
        <f>IF(AND('Mapa final'!$AB$115="Alta",'Mapa final'!$AD$115="Moderado"),CONCATENATE("R38C",'Mapa final'!$R$115),"")</f>
        <v/>
      </c>
      <c r="Q93" s="42" t="str">
        <f>IF(AND('Mapa final'!$AB$116="Alta",'Mapa final'!$AD$116="Moderado"),CONCATENATE("R38C",'Mapa final'!$R$116),"")</f>
        <v/>
      </c>
      <c r="R93" s="106" t="str">
        <f>IF(AND('Mapa final'!$AB$117="Alta",'Mapa final'!$AD$117="Moderado"),CONCATENATE("R38C",'Mapa final'!$R$117),"")</f>
        <v/>
      </c>
      <c r="S93" s="105" t="str">
        <f>IF(AND('Mapa final'!$AB$115="Alta",'Mapa final'!$AD$115="Mayor"),CONCATENATE("R38C",'Mapa final'!$R$115),"")</f>
        <v/>
      </c>
      <c r="T93" s="42" t="str">
        <f>IF(AND('Mapa final'!$AB$116="Alta",'Mapa final'!$AD$116="Mayor"),CONCATENATE("R38C",'Mapa final'!$R$116),"")</f>
        <v/>
      </c>
      <c r="U93" s="106" t="str">
        <f>IF(AND('Mapa final'!$AB$117="Alta",'Mapa final'!$AD$117="Mayor"),CONCATENATE("R38C",'Mapa final'!$R$117),"")</f>
        <v/>
      </c>
      <c r="V93" s="43" t="str">
        <f>IF(AND('Mapa final'!$AB$115="Alta",'Mapa final'!$AD$115="Catastrófico"),CONCATENATE("R38C",'Mapa final'!$R$115),"")</f>
        <v/>
      </c>
      <c r="W93" s="44" t="str">
        <f>IF(AND('Mapa final'!$AB$116="Alta",'Mapa final'!$AD$116="Catastrófico"),CONCATENATE("R38C",'Mapa final'!$R$116),"")</f>
        <v/>
      </c>
      <c r="X93" s="100" t="str">
        <f>IF(AND('Mapa final'!$AB$117="Alta",'Mapa final'!$AD$117="Catastrófico"),CONCATENATE("R38C",'Mapa final'!$R$117),"")</f>
        <v/>
      </c>
      <c r="Y93" s="56"/>
      <c r="Z93" s="282"/>
      <c r="AA93" s="283"/>
      <c r="AB93" s="283"/>
      <c r="AC93" s="283"/>
      <c r="AD93" s="283"/>
      <c r="AE93" s="284"/>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row>
    <row r="94" spans="1:61" ht="15" customHeight="1" x14ac:dyDescent="0.35">
      <c r="A94" s="56"/>
      <c r="B94" s="300"/>
      <c r="C94" s="300"/>
      <c r="D94" s="301"/>
      <c r="E94" s="289"/>
      <c r="F94" s="290"/>
      <c r="G94" s="290"/>
      <c r="H94" s="290"/>
      <c r="I94" s="288"/>
      <c r="J94" s="49" t="str">
        <f>IF(AND('Mapa final'!$AB$118="Alta",'Mapa final'!$AD$118="Leve"),CONCATENATE("R39C",'Mapa final'!$R$118),"")</f>
        <v/>
      </c>
      <c r="K94" s="50" t="str">
        <f>IF(AND('Mapa final'!$AB$119="Alta",'Mapa final'!$AD$119="Leve"),CONCATENATE("R39C",'Mapa final'!$R$119),"")</f>
        <v/>
      </c>
      <c r="L94" s="111" t="str">
        <f>IF(AND('Mapa final'!$AB$120="Alta",'Mapa final'!$AD$120="Leve"),CONCATENATE("R39C",'Mapa final'!$R$120),"")</f>
        <v/>
      </c>
      <c r="M94" s="49" t="str">
        <f>IF(AND('Mapa final'!$AB$118="Alta",'Mapa final'!$AD$118="Menor"),CONCATENATE("R39C",'Mapa final'!$R$118),"")</f>
        <v/>
      </c>
      <c r="N94" s="50" t="str">
        <f>IF(AND('Mapa final'!$AB$119="Alta",'Mapa final'!$AD$119="Menor"),CONCATENATE("R39C",'Mapa final'!$R$119),"")</f>
        <v/>
      </c>
      <c r="O94" s="111" t="str">
        <f>IF(AND('Mapa final'!$AB$120="Alta",'Mapa final'!$AD$120="Menor"),CONCATENATE("R39C",'Mapa final'!$R$120),"")</f>
        <v/>
      </c>
      <c r="P94" s="105" t="str">
        <f>IF(AND('Mapa final'!$AB$118="Alta",'Mapa final'!$AD$118="Moderado"),CONCATENATE("R39C",'Mapa final'!$R$118),"")</f>
        <v/>
      </c>
      <c r="Q94" s="42" t="str">
        <f>IF(AND('Mapa final'!$AB$119="Alta",'Mapa final'!$AD$119="Moderado"),CONCATENATE("R39C",'Mapa final'!$R$119),"")</f>
        <v/>
      </c>
      <c r="R94" s="106" t="str">
        <f>IF(AND('Mapa final'!$AB$120="Alta",'Mapa final'!$AD$120="Moderado"),CONCATENATE("R39C",'Mapa final'!$R$120),"")</f>
        <v/>
      </c>
      <c r="S94" s="105" t="str">
        <f>IF(AND('Mapa final'!$AB$118="Alta",'Mapa final'!$AD$118="Mayor"),CONCATENATE("R39C",'Mapa final'!$R$118),"")</f>
        <v/>
      </c>
      <c r="T94" s="42" t="str">
        <f>IF(AND('Mapa final'!$AB$119="Alta",'Mapa final'!$AD$119="Mayor"),CONCATENATE("R39C",'Mapa final'!$R$119),"")</f>
        <v/>
      </c>
      <c r="U94" s="106" t="str">
        <f>IF(AND('Mapa final'!$AB$120="Alta",'Mapa final'!$AD$120="Mayor"),CONCATENATE("R39C",'Mapa final'!$R$120),"")</f>
        <v/>
      </c>
      <c r="V94" s="43" t="str">
        <f>IF(AND('Mapa final'!$AB$118="Alta",'Mapa final'!$AD$118="Catastrófico"),CONCATENATE("R39C",'Mapa final'!$R$118),"")</f>
        <v/>
      </c>
      <c r="W94" s="44" t="str">
        <f>IF(AND('Mapa final'!$AB$119="Alta",'Mapa final'!$AD$119="Catastrófico"),CONCATENATE("R39C",'Mapa final'!$R$119),"")</f>
        <v/>
      </c>
      <c r="X94" s="100" t="str">
        <f>IF(AND('Mapa final'!$AB$120="Alta",'Mapa final'!$AD$120="Catastrófico"),CONCATENATE("R39C",'Mapa final'!$R$120),"")</f>
        <v/>
      </c>
      <c r="Y94" s="56"/>
      <c r="Z94" s="282"/>
      <c r="AA94" s="283"/>
      <c r="AB94" s="283"/>
      <c r="AC94" s="283"/>
      <c r="AD94" s="283"/>
      <c r="AE94" s="284"/>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row>
    <row r="95" spans="1:61" ht="15" customHeight="1" x14ac:dyDescent="0.35">
      <c r="A95" s="56"/>
      <c r="B95" s="300"/>
      <c r="C95" s="300"/>
      <c r="D95" s="301"/>
      <c r="E95" s="289"/>
      <c r="F95" s="290"/>
      <c r="G95" s="290"/>
      <c r="H95" s="290"/>
      <c r="I95" s="288"/>
      <c r="J95" s="49" t="str">
        <f>IF(AND('Mapa final'!$AB$121="Alta",'Mapa final'!$AD$121="Leve"),CONCATENATE("R40C",'Mapa final'!$R$121),"")</f>
        <v/>
      </c>
      <c r="K95" s="50" t="str">
        <f>IF(AND('Mapa final'!$AB$122="Alta",'Mapa final'!$AD$122="Leve"),CONCATENATE("R40C",'Mapa final'!$R$122),"")</f>
        <v/>
      </c>
      <c r="L95" s="111" t="str">
        <f>IF(AND('Mapa final'!$AB$123="Alta",'Mapa final'!$AD$123="Leve"),CONCATENATE("R40C",'Mapa final'!$R$123),"")</f>
        <v/>
      </c>
      <c r="M95" s="49" t="str">
        <f>IF(AND('Mapa final'!$AB$121="Alta",'Mapa final'!$AD$121="Menor"),CONCATENATE("R40C",'Mapa final'!$R$121),"")</f>
        <v/>
      </c>
      <c r="N95" s="50" t="str">
        <f>IF(AND('Mapa final'!$AB$122="Alta",'Mapa final'!$AD$122="Menor"),CONCATENATE("R40C",'Mapa final'!$R$122),"")</f>
        <v/>
      </c>
      <c r="O95" s="111" t="str">
        <f>IF(AND('Mapa final'!$AB$123="Alta",'Mapa final'!$AD$123="Menor"),CONCATENATE("R40C",'Mapa final'!$R$123),"")</f>
        <v/>
      </c>
      <c r="P95" s="105" t="str">
        <f>IF(AND('Mapa final'!$AB$121="Alta",'Mapa final'!$AD$121="Moderado"),CONCATENATE("R40C",'Mapa final'!$R$121),"")</f>
        <v/>
      </c>
      <c r="Q95" s="42" t="str">
        <f>IF(AND('Mapa final'!$AB$122="Alta",'Mapa final'!$AD$122="Moderado"),CONCATENATE("R40C",'Mapa final'!$R$122),"")</f>
        <v/>
      </c>
      <c r="R95" s="106" t="str">
        <f>IF(AND('Mapa final'!$AB$123="Alta",'Mapa final'!$AD$123="Moderado"),CONCATENATE("R40C",'Mapa final'!$R$123),"")</f>
        <v/>
      </c>
      <c r="S95" s="105" t="str">
        <f>IF(AND('Mapa final'!$AB$121="Alta",'Mapa final'!$AD$121="Mayor"),CONCATENATE("R40C",'Mapa final'!$R$121),"")</f>
        <v/>
      </c>
      <c r="T95" s="42" t="str">
        <f>IF(AND('Mapa final'!$AB$122="Alta",'Mapa final'!$AD$122="Mayor"),CONCATENATE("R40C",'Mapa final'!$R$122),"")</f>
        <v/>
      </c>
      <c r="U95" s="106" t="str">
        <f>IF(AND('Mapa final'!$AB$123="Alta",'Mapa final'!$AD$123="Mayor"),CONCATENATE("R40C",'Mapa final'!$R$123),"")</f>
        <v/>
      </c>
      <c r="V95" s="43" t="str">
        <f>IF(AND('Mapa final'!$AB$121="Alta",'Mapa final'!$AD$121="Catastrófico"),CONCATENATE("R40C",'Mapa final'!$R$121),"")</f>
        <v/>
      </c>
      <c r="W95" s="44" t="str">
        <f>IF(AND('Mapa final'!$AB$122="Alta",'Mapa final'!$AD$122="Catastrófico"),CONCATENATE("R40C",'Mapa final'!$R$122),"")</f>
        <v/>
      </c>
      <c r="X95" s="100" t="str">
        <f>IF(AND('Mapa final'!$AB$123="Alta",'Mapa final'!$AD$123="Catastrófico"),CONCATENATE("R40C",'Mapa final'!$R$123),"")</f>
        <v/>
      </c>
      <c r="Y95" s="56"/>
      <c r="Z95" s="282"/>
      <c r="AA95" s="283"/>
      <c r="AB95" s="283"/>
      <c r="AC95" s="283"/>
      <c r="AD95" s="283"/>
      <c r="AE95" s="284"/>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row>
    <row r="96" spans="1:61" ht="15" customHeight="1" x14ac:dyDescent="0.35">
      <c r="A96" s="56"/>
      <c r="B96" s="300"/>
      <c r="C96" s="300"/>
      <c r="D96" s="301"/>
      <c r="E96" s="289"/>
      <c r="F96" s="290"/>
      <c r="G96" s="290"/>
      <c r="H96" s="290"/>
      <c r="I96" s="288"/>
      <c r="J96" s="49" t="str">
        <f>IF(AND('Mapa final'!$AB$124="Alta",'Mapa final'!$AD$124="Leve"),CONCATENATE("R41C",'Mapa final'!$R$124),"")</f>
        <v/>
      </c>
      <c r="K96" s="50" t="str">
        <f>IF(AND('Mapa final'!$AB$125="Alta",'Mapa final'!$AD$125="Leve"),CONCATENATE("R41C",'Mapa final'!$R$125),"")</f>
        <v/>
      </c>
      <c r="L96" s="111" t="str">
        <f>IF(AND('Mapa final'!$AB$126="Alta",'Mapa final'!$AD$126="Leve"),CONCATENATE("R41C",'Mapa final'!$R$126),"")</f>
        <v/>
      </c>
      <c r="M96" s="49" t="str">
        <f>IF(AND('Mapa final'!$AB$124="Alta",'Mapa final'!$AD$124="Menor"),CONCATENATE("R41C",'Mapa final'!$R$124),"")</f>
        <v/>
      </c>
      <c r="N96" s="50" t="str">
        <f>IF(AND('Mapa final'!$AB$125="Alta",'Mapa final'!$AD$125="Menor"),CONCATENATE("R41C",'Mapa final'!$R$125),"")</f>
        <v/>
      </c>
      <c r="O96" s="111" t="str">
        <f>IF(AND('Mapa final'!$AB$126="Alta",'Mapa final'!$AD$126="Menor"),CONCATENATE("R41C",'Mapa final'!$R$126),"")</f>
        <v/>
      </c>
      <c r="P96" s="105" t="str">
        <f>IF(AND('Mapa final'!$AB$124="Alta",'Mapa final'!$AD$124="Moderado"),CONCATENATE("R41C",'Mapa final'!$R$124),"")</f>
        <v/>
      </c>
      <c r="Q96" s="42" t="str">
        <f>IF(AND('Mapa final'!$AB$125="Alta",'Mapa final'!$AD$125="Moderado"),CONCATENATE("R41C",'Mapa final'!$R$125),"")</f>
        <v/>
      </c>
      <c r="R96" s="106" t="str">
        <f>IF(AND('Mapa final'!$AB$126="Alta",'Mapa final'!$AD$126="Moderado"),CONCATENATE("R41C",'Mapa final'!$R$126),"")</f>
        <v/>
      </c>
      <c r="S96" s="105" t="str">
        <f>IF(AND('Mapa final'!$AB$124="Alta",'Mapa final'!$AD$124="Mayor"),CONCATENATE("R41C",'Mapa final'!$R$124),"")</f>
        <v/>
      </c>
      <c r="T96" s="42" t="str">
        <f>IF(AND('Mapa final'!$AB$125="Alta",'Mapa final'!$AD$125="Mayor"),CONCATENATE("R41C",'Mapa final'!$R$125),"")</f>
        <v/>
      </c>
      <c r="U96" s="106" t="str">
        <f>IF(AND('Mapa final'!$AB$126="Alta",'Mapa final'!$AD$126="Mayor"),CONCATENATE("R41C",'Mapa final'!$R$126),"")</f>
        <v/>
      </c>
      <c r="V96" s="43" t="str">
        <f>IF(AND('Mapa final'!$AB$124="Alta",'Mapa final'!$AD$124="Catastrófico"),CONCATENATE("R41C",'Mapa final'!$R$124),"")</f>
        <v/>
      </c>
      <c r="W96" s="44" t="str">
        <f>IF(AND('Mapa final'!$AB$125="Alta",'Mapa final'!$AD$125="Catastrófico"),CONCATENATE("R41C",'Mapa final'!$R$125),"")</f>
        <v/>
      </c>
      <c r="X96" s="100" t="str">
        <f>IF(AND('Mapa final'!$AB$126="Alta",'Mapa final'!$AD$126="Catastrófico"),CONCATENATE("R41C",'Mapa final'!$R$126),"")</f>
        <v/>
      </c>
      <c r="Y96" s="56"/>
      <c r="Z96" s="282"/>
      <c r="AA96" s="283"/>
      <c r="AB96" s="283"/>
      <c r="AC96" s="283"/>
      <c r="AD96" s="283"/>
      <c r="AE96" s="284"/>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row>
    <row r="97" spans="1:61" ht="15" customHeight="1" x14ac:dyDescent="0.35">
      <c r="A97" s="56"/>
      <c r="B97" s="300"/>
      <c r="C97" s="300"/>
      <c r="D97" s="301"/>
      <c r="E97" s="289"/>
      <c r="F97" s="290"/>
      <c r="G97" s="290"/>
      <c r="H97" s="290"/>
      <c r="I97" s="288"/>
      <c r="J97" s="49" t="str">
        <f>IF(AND('Mapa final'!$AB$127="Alta",'Mapa final'!$AD$127="Leve"),CONCATENATE("R42C",'Mapa final'!$R$127),"")</f>
        <v/>
      </c>
      <c r="K97" s="50" t="str">
        <f>IF(AND('Mapa final'!$AB$128="Alta",'Mapa final'!$AD$128="Leve"),CONCATENATE("R42C",'Mapa final'!$R$128),"")</f>
        <v/>
      </c>
      <c r="L97" s="111" t="str">
        <f>IF(AND('Mapa final'!$AB$129="Alta",'Mapa final'!$AD$129="Leve"),CONCATENATE("R42C",'Mapa final'!$R$129),"")</f>
        <v/>
      </c>
      <c r="M97" s="49" t="str">
        <f>IF(AND('Mapa final'!$AB$127="Alta",'Mapa final'!$AD$127="Menor"),CONCATENATE("R42C",'Mapa final'!$R$127),"")</f>
        <v/>
      </c>
      <c r="N97" s="50" t="str">
        <f>IF(AND('Mapa final'!$AB$128="Alta",'Mapa final'!$AD$128="Menor"),CONCATENATE("R42C",'Mapa final'!$R$128),"")</f>
        <v/>
      </c>
      <c r="O97" s="111" t="str">
        <f>IF(AND('Mapa final'!$AB$129="Alta",'Mapa final'!$AD$129="Menor"),CONCATENATE("R42C",'Mapa final'!$R$129),"")</f>
        <v/>
      </c>
      <c r="P97" s="105" t="str">
        <f>IF(AND('Mapa final'!$AB$127="Alta",'Mapa final'!$AD$127="Moderado"),CONCATENATE("R42C",'Mapa final'!$R$127),"")</f>
        <v/>
      </c>
      <c r="Q97" s="42" t="str">
        <f>IF(AND('Mapa final'!$AB$128="Alta",'Mapa final'!$AD$128="Moderado"),CONCATENATE("R42C",'Mapa final'!$R$128),"")</f>
        <v/>
      </c>
      <c r="R97" s="106" t="str">
        <f>IF(AND('Mapa final'!$AB$129="Alta",'Mapa final'!$AD$129="Moderado"),CONCATENATE("R42C",'Mapa final'!$R$129),"")</f>
        <v/>
      </c>
      <c r="S97" s="105" t="str">
        <f>IF(AND('Mapa final'!$AB$127="Alta",'Mapa final'!$AD$127="Mayor"),CONCATENATE("R42C",'Mapa final'!$R$127),"")</f>
        <v/>
      </c>
      <c r="T97" s="42" t="str">
        <f>IF(AND('Mapa final'!$AB$128="Alta",'Mapa final'!$AD$128="Mayor"),CONCATENATE("R42C",'Mapa final'!$R$128),"")</f>
        <v/>
      </c>
      <c r="U97" s="106" t="str">
        <f>IF(AND('Mapa final'!$AB$129="Alta",'Mapa final'!$AD$129="Mayor"),CONCATENATE("R42C",'Mapa final'!$R$129),"")</f>
        <v/>
      </c>
      <c r="V97" s="43" t="str">
        <f>IF(AND('Mapa final'!$AB$127="Alta",'Mapa final'!$AD$127="Catastrófico"),CONCATENATE("R42C",'Mapa final'!$R$127),"")</f>
        <v/>
      </c>
      <c r="W97" s="44" t="str">
        <f>IF(AND('Mapa final'!$AB$128="Alta",'Mapa final'!$AD$128="Catastrófico"),CONCATENATE("R42C",'Mapa final'!$R$128),"")</f>
        <v/>
      </c>
      <c r="X97" s="100" t="str">
        <f>IF(AND('Mapa final'!$AB$129="Alta",'Mapa final'!$AD$129="Catastrófico"),CONCATENATE("R42C",'Mapa final'!$R$129),"")</f>
        <v/>
      </c>
      <c r="Y97" s="56"/>
      <c r="Z97" s="282"/>
      <c r="AA97" s="283"/>
      <c r="AB97" s="283"/>
      <c r="AC97" s="283"/>
      <c r="AD97" s="283"/>
      <c r="AE97" s="284"/>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row>
    <row r="98" spans="1:61" ht="15" customHeight="1" x14ac:dyDescent="0.35">
      <c r="A98" s="56"/>
      <c r="B98" s="300"/>
      <c r="C98" s="300"/>
      <c r="D98" s="301"/>
      <c r="E98" s="289"/>
      <c r="F98" s="290"/>
      <c r="G98" s="290"/>
      <c r="H98" s="290"/>
      <c r="I98" s="288"/>
      <c r="J98" s="49" t="str">
        <f>IF(AND('Mapa final'!$AB$130="Alta",'Mapa final'!$AD$130="Leve"),CONCATENATE("R43C",'Mapa final'!$R$130),"")</f>
        <v/>
      </c>
      <c r="K98" s="50" t="str">
        <f>IF(AND('Mapa final'!$AB$131="Alta",'Mapa final'!$AD$131="Leve"),CONCATENATE("R43C",'Mapa final'!$R$131),"")</f>
        <v/>
      </c>
      <c r="L98" s="111" t="str">
        <f>IF(AND('Mapa final'!$AB$132="Alta",'Mapa final'!$AD$132="Leve"),CONCATENATE("R43C",'Mapa final'!$R$132),"")</f>
        <v/>
      </c>
      <c r="M98" s="49" t="str">
        <f>IF(AND('Mapa final'!$AB$130="Alta",'Mapa final'!$AD$130="Menor"),CONCATENATE("R43C",'Mapa final'!$R$130),"")</f>
        <v/>
      </c>
      <c r="N98" s="50" t="str">
        <f>IF(AND('Mapa final'!$AB$131="Alta",'Mapa final'!$AD$131="Menor"),CONCATENATE("R43C",'Mapa final'!$R$131),"")</f>
        <v/>
      </c>
      <c r="O98" s="111" t="str">
        <f>IF(AND('Mapa final'!$AB$132="Alta",'Mapa final'!$AD$132="Menor"),CONCATENATE("R43C",'Mapa final'!$R$132),"")</f>
        <v/>
      </c>
      <c r="P98" s="105" t="str">
        <f>IF(AND('Mapa final'!$AB$130="Alta",'Mapa final'!$AD$130="Moderado"),CONCATENATE("R43C",'Mapa final'!$R$130),"")</f>
        <v/>
      </c>
      <c r="Q98" s="42" t="str">
        <f>IF(AND('Mapa final'!$AB$131="Alta",'Mapa final'!$AD$131="Moderado"),CONCATENATE("R43C",'Mapa final'!$R$131),"")</f>
        <v/>
      </c>
      <c r="R98" s="106" t="str">
        <f>IF(AND('Mapa final'!$AB$132="Alta",'Mapa final'!$AD$132="Moderado"),CONCATENATE("R43C",'Mapa final'!$R$132),"")</f>
        <v/>
      </c>
      <c r="S98" s="105" t="str">
        <f>IF(AND('Mapa final'!$AB$130="Alta",'Mapa final'!$AD$130="Mayor"),CONCATENATE("R43C",'Mapa final'!$R$130),"")</f>
        <v/>
      </c>
      <c r="T98" s="42" t="str">
        <f>IF(AND('Mapa final'!$AB$131="Alta",'Mapa final'!$AD$131="Mayor"),CONCATENATE("R43C",'Mapa final'!$R$131),"")</f>
        <v/>
      </c>
      <c r="U98" s="106" t="str">
        <f>IF(AND('Mapa final'!$AB$132="Alta",'Mapa final'!$AD$132="Mayor"),CONCATENATE("R43C",'Mapa final'!$R$132),"")</f>
        <v/>
      </c>
      <c r="V98" s="43" t="str">
        <f>IF(AND('Mapa final'!$AB$130="Alta",'Mapa final'!$AD$130="Catastrófico"),CONCATENATE("R43C",'Mapa final'!$R$130),"")</f>
        <v/>
      </c>
      <c r="W98" s="44" t="str">
        <f>IF(AND('Mapa final'!$AB$131="Alta",'Mapa final'!$AD$131="Catastrófico"),CONCATENATE("R43C",'Mapa final'!$R$131),"")</f>
        <v/>
      </c>
      <c r="X98" s="100" t="str">
        <f>IF(AND('Mapa final'!$AB$132="Alta",'Mapa final'!$AD$132="Catastrófico"),CONCATENATE("R43C",'Mapa final'!$R$132),"")</f>
        <v/>
      </c>
      <c r="Y98" s="56"/>
      <c r="Z98" s="282"/>
      <c r="AA98" s="283"/>
      <c r="AB98" s="283"/>
      <c r="AC98" s="283"/>
      <c r="AD98" s="283"/>
      <c r="AE98" s="284"/>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row>
    <row r="99" spans="1:61" ht="15" customHeight="1" x14ac:dyDescent="0.35">
      <c r="A99" s="56"/>
      <c r="B99" s="300"/>
      <c r="C99" s="300"/>
      <c r="D99" s="301"/>
      <c r="E99" s="289"/>
      <c r="F99" s="290"/>
      <c r="G99" s="290"/>
      <c r="H99" s="290"/>
      <c r="I99" s="288"/>
      <c r="J99" s="49" t="str">
        <f>IF(AND('Mapa final'!$AB$133="Alta",'Mapa final'!$AD$133="Leve"),CONCATENATE("R44C",'Mapa final'!$R$133),"")</f>
        <v/>
      </c>
      <c r="K99" s="50" t="str">
        <f>IF(AND('Mapa final'!$AB$134="Alta",'Mapa final'!$AD$134="Leve"),CONCATENATE("R44C",'Mapa final'!$R$134),"")</f>
        <v/>
      </c>
      <c r="L99" s="111" t="str">
        <f>IF(AND('Mapa final'!$AB$135="Alta",'Mapa final'!$AD$135="Leve"),CONCATENATE("R44C",'Mapa final'!$R$135),"")</f>
        <v/>
      </c>
      <c r="M99" s="49" t="str">
        <f>IF(AND('Mapa final'!$AB$133="Alta",'Mapa final'!$AD$133="Menor"),CONCATENATE("R44C",'Mapa final'!$R$133),"")</f>
        <v/>
      </c>
      <c r="N99" s="50" t="str">
        <f>IF(AND('Mapa final'!$AB$134="Alta",'Mapa final'!$AD$134="Menor"),CONCATENATE("R44C",'Mapa final'!$R$134),"")</f>
        <v/>
      </c>
      <c r="O99" s="111" t="str">
        <f>IF(AND('Mapa final'!$AB$135="Alta",'Mapa final'!$AD$135="Menor"),CONCATENATE("R44C",'Mapa final'!$R$135),"")</f>
        <v/>
      </c>
      <c r="P99" s="105" t="str">
        <f>IF(AND('Mapa final'!$AB$133="Alta",'Mapa final'!$AD$133="Moderado"),CONCATENATE("R44C",'Mapa final'!$R$133),"")</f>
        <v/>
      </c>
      <c r="Q99" s="42" t="str">
        <f>IF(AND('Mapa final'!$AB$134="Alta",'Mapa final'!$AD$134="Moderado"),CONCATENATE("R44C",'Mapa final'!$R$134),"")</f>
        <v/>
      </c>
      <c r="R99" s="106" t="str">
        <f>IF(AND('Mapa final'!$AB$135="Alta",'Mapa final'!$AD$135="Moderado"),CONCATENATE("R44C",'Mapa final'!$R$135),"")</f>
        <v/>
      </c>
      <c r="S99" s="105" t="str">
        <f>IF(AND('Mapa final'!$AB$133="Alta",'Mapa final'!$AD$133="Mayor"),CONCATENATE("R44C",'Mapa final'!$R$133),"")</f>
        <v/>
      </c>
      <c r="T99" s="42" t="str">
        <f>IF(AND('Mapa final'!$AB$134="Alta",'Mapa final'!$AD$134="Mayor"),CONCATENATE("R44C",'Mapa final'!$R$134),"")</f>
        <v/>
      </c>
      <c r="U99" s="106" t="str">
        <f>IF(AND('Mapa final'!$AB$135="Alta",'Mapa final'!$AD$135="Mayor"),CONCATENATE("R44C",'Mapa final'!$R$135),"")</f>
        <v/>
      </c>
      <c r="V99" s="43" t="str">
        <f>IF(AND('Mapa final'!$AB$133="Alta",'Mapa final'!$AD$133="Catastrófico"),CONCATENATE("R44C",'Mapa final'!$R$133),"")</f>
        <v/>
      </c>
      <c r="W99" s="44" t="str">
        <f>IF(AND('Mapa final'!$AB$134="Alta",'Mapa final'!$AD$134="Catastrófico"),CONCATENATE("R44C",'Mapa final'!$R$134),"")</f>
        <v/>
      </c>
      <c r="X99" s="100" t="str">
        <f>IF(AND('Mapa final'!$AB$135="Alta",'Mapa final'!$AD$135="Catastrófico"),CONCATENATE("R44C",'Mapa final'!$R$135),"")</f>
        <v/>
      </c>
      <c r="Y99" s="56"/>
      <c r="Z99" s="282"/>
      <c r="AA99" s="283"/>
      <c r="AB99" s="283"/>
      <c r="AC99" s="283"/>
      <c r="AD99" s="283"/>
      <c r="AE99" s="284"/>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row>
    <row r="100" spans="1:61" ht="15" customHeight="1" x14ac:dyDescent="0.35">
      <c r="A100" s="56"/>
      <c r="B100" s="300"/>
      <c r="C100" s="300"/>
      <c r="D100" s="301"/>
      <c r="E100" s="289"/>
      <c r="F100" s="290"/>
      <c r="G100" s="290"/>
      <c r="H100" s="290"/>
      <c r="I100" s="288"/>
      <c r="J100" s="49" t="str">
        <f>IF(AND('Mapa final'!$AB$136="Alta",'Mapa final'!$AD$136="Leve"),CONCATENATE("R45C",'Mapa final'!$R$136),"")</f>
        <v/>
      </c>
      <c r="K100" s="50" t="str">
        <f>IF(AND('Mapa final'!$AB$137="Alta",'Mapa final'!$AD$137="Leve"),CONCATENATE("R45C",'Mapa final'!$R$137),"")</f>
        <v/>
      </c>
      <c r="L100" s="111" t="str">
        <f>IF(AND('Mapa final'!$AB$138="Alta",'Mapa final'!$AD$138="Leve"),CONCATENATE("R45C",'Mapa final'!$R$138),"")</f>
        <v/>
      </c>
      <c r="M100" s="49" t="str">
        <f>IF(AND('Mapa final'!$AB$136="Alta",'Mapa final'!$AD$136="Menor"),CONCATENATE("R45C",'Mapa final'!$R$136),"")</f>
        <v/>
      </c>
      <c r="N100" s="50" t="str">
        <f>IF(AND('Mapa final'!$AB$137="Alta",'Mapa final'!$AD$137="Menor"),CONCATENATE("R45C",'Mapa final'!$R$137),"")</f>
        <v/>
      </c>
      <c r="O100" s="111" t="str">
        <f>IF(AND('Mapa final'!$AB$138="Alta",'Mapa final'!$AD$138="Menor"),CONCATENATE("R45C",'Mapa final'!$R$138),"")</f>
        <v/>
      </c>
      <c r="P100" s="105" t="str">
        <f>IF(AND('Mapa final'!$AB$136="Alta",'Mapa final'!$AD$136="Moderado"),CONCATENATE("R45C",'Mapa final'!$R$136),"")</f>
        <v/>
      </c>
      <c r="Q100" s="42" t="str">
        <f>IF(AND('Mapa final'!$AB$137="Alta",'Mapa final'!$AD$137="Moderado"),CONCATENATE("R45C",'Mapa final'!$R$137),"")</f>
        <v/>
      </c>
      <c r="R100" s="106" t="str">
        <f>IF(AND('Mapa final'!$AB$138="Alta",'Mapa final'!$AD$138="Moderado"),CONCATENATE("R45C",'Mapa final'!$R$138),"")</f>
        <v/>
      </c>
      <c r="S100" s="105" t="str">
        <f>IF(AND('Mapa final'!$AB$136="Alta",'Mapa final'!$AD$136="Mayor"),CONCATENATE("R45C",'Mapa final'!$R$136),"")</f>
        <v/>
      </c>
      <c r="T100" s="42" t="str">
        <f>IF(AND('Mapa final'!$AB$137="Alta",'Mapa final'!$AD$137="Mayor"),CONCATENATE("R45C",'Mapa final'!$R$137),"")</f>
        <v/>
      </c>
      <c r="U100" s="106" t="str">
        <f>IF(AND('Mapa final'!$AB$138="Alta",'Mapa final'!$AD$138="Mayor"),CONCATENATE("R45C",'Mapa final'!$R$138),"")</f>
        <v/>
      </c>
      <c r="V100" s="43" t="str">
        <f>IF(AND('Mapa final'!$AB$136="Alta",'Mapa final'!$AD$136="Catastrófico"),CONCATENATE("R45C",'Mapa final'!$R$136),"")</f>
        <v/>
      </c>
      <c r="W100" s="44" t="str">
        <f>IF(AND('Mapa final'!$AB$137="Alta",'Mapa final'!$AD$137="Catastrófico"),CONCATENATE("R45C",'Mapa final'!$R$137),"")</f>
        <v/>
      </c>
      <c r="X100" s="100" t="str">
        <f>IF(AND('Mapa final'!$AB$138="Alta",'Mapa final'!$AD$138="Catastrófico"),CONCATENATE("R45C",'Mapa final'!$R$138),"")</f>
        <v/>
      </c>
      <c r="Y100" s="56"/>
      <c r="Z100" s="282"/>
      <c r="AA100" s="283"/>
      <c r="AB100" s="283"/>
      <c r="AC100" s="283"/>
      <c r="AD100" s="283"/>
      <c r="AE100" s="284"/>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row>
    <row r="101" spans="1:61" ht="15" customHeight="1" x14ac:dyDescent="0.35">
      <c r="A101" s="56"/>
      <c r="B101" s="300"/>
      <c r="C101" s="300"/>
      <c r="D101" s="301"/>
      <c r="E101" s="289"/>
      <c r="F101" s="290"/>
      <c r="G101" s="290"/>
      <c r="H101" s="290"/>
      <c r="I101" s="288"/>
      <c r="J101" s="49" t="str">
        <f>IF(AND('Mapa final'!$AB$139="Alta",'Mapa final'!$AD$139="Leve"),CONCATENATE("R46C",'Mapa final'!$R$139),"")</f>
        <v/>
      </c>
      <c r="K101" s="50" t="str">
        <f>IF(AND('Mapa final'!$AB$140="Alta",'Mapa final'!$AD$140="Leve"),CONCATENATE("R46C",'Mapa final'!$R$140),"")</f>
        <v/>
      </c>
      <c r="L101" s="111" t="str">
        <f>IF(AND('Mapa final'!$AB$141="Alta",'Mapa final'!$AD$141="Leve"),CONCATENATE("R46C",'Mapa final'!$R$141),"")</f>
        <v/>
      </c>
      <c r="M101" s="49" t="str">
        <f>IF(AND('Mapa final'!$AB$139="Alta",'Mapa final'!$AD$139="Menor"),CONCATENATE("R46C",'Mapa final'!$R$139),"")</f>
        <v/>
      </c>
      <c r="N101" s="50" t="str">
        <f>IF(AND('Mapa final'!$AB$140="Alta",'Mapa final'!$AD$140="Menor"),CONCATENATE("R46C",'Mapa final'!$R$140),"")</f>
        <v/>
      </c>
      <c r="O101" s="111" t="str">
        <f>IF(AND('Mapa final'!$AB$141="Alta",'Mapa final'!$AD$141="Menor"),CONCATENATE("R46C",'Mapa final'!$R$141),"")</f>
        <v/>
      </c>
      <c r="P101" s="105" t="str">
        <f>IF(AND('Mapa final'!$AB$139="Alta",'Mapa final'!$AD$139="Moderado"),CONCATENATE("R46C",'Mapa final'!$R$139),"")</f>
        <v/>
      </c>
      <c r="Q101" s="42" t="str">
        <f>IF(AND('Mapa final'!$AB$140="Alta",'Mapa final'!$AD$140="Moderado"),CONCATENATE("R46C",'Mapa final'!$R$140),"")</f>
        <v/>
      </c>
      <c r="R101" s="106" t="str">
        <f>IF(AND('Mapa final'!$AB$141="Alta",'Mapa final'!$AD$141="Moderado"),CONCATENATE("R46C",'Mapa final'!$R$141),"")</f>
        <v/>
      </c>
      <c r="S101" s="105" t="str">
        <f>IF(AND('Mapa final'!$AB$139="Alta",'Mapa final'!$AD$139="Mayor"),CONCATENATE("R46C",'Mapa final'!$R$139),"")</f>
        <v/>
      </c>
      <c r="T101" s="42" t="str">
        <f>IF(AND('Mapa final'!$AB$140="Alta",'Mapa final'!$AD$140="Mayor"),CONCATENATE("R46C",'Mapa final'!$R$140),"")</f>
        <v/>
      </c>
      <c r="U101" s="106" t="str">
        <f>IF(AND('Mapa final'!$AB$141="Alta",'Mapa final'!$AD$141="Mayor"),CONCATENATE("R46C",'Mapa final'!$R$141),"")</f>
        <v/>
      </c>
      <c r="V101" s="43" t="str">
        <f>IF(AND('Mapa final'!$AB$139="Alta",'Mapa final'!$AD$139="Catastrófico"),CONCATENATE("R46C",'Mapa final'!$R$139),"")</f>
        <v/>
      </c>
      <c r="W101" s="44" t="str">
        <f>IF(AND('Mapa final'!$AB$140="Alta",'Mapa final'!$AD$140="Catastrófico"),CONCATENATE("R46C",'Mapa final'!$R$140),"")</f>
        <v/>
      </c>
      <c r="X101" s="100" t="str">
        <f>IF(AND('Mapa final'!$AB$141="Alta",'Mapa final'!$AD$141="Catastrófico"),CONCATENATE("R46C",'Mapa final'!$R$141),"")</f>
        <v/>
      </c>
      <c r="Y101" s="56"/>
      <c r="Z101" s="282"/>
      <c r="AA101" s="283"/>
      <c r="AB101" s="283"/>
      <c r="AC101" s="283"/>
      <c r="AD101" s="283"/>
      <c r="AE101" s="284"/>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row>
    <row r="102" spans="1:61" ht="15" customHeight="1" x14ac:dyDescent="0.35">
      <c r="A102" s="56"/>
      <c r="B102" s="300"/>
      <c r="C102" s="300"/>
      <c r="D102" s="301"/>
      <c r="E102" s="289"/>
      <c r="F102" s="290"/>
      <c r="G102" s="290"/>
      <c r="H102" s="290"/>
      <c r="I102" s="288"/>
      <c r="J102" s="49" t="str">
        <f>IF(AND('Mapa final'!$AB$142="Alta",'Mapa final'!$AD$142="Leve"),CONCATENATE("R47C",'Mapa final'!$R$142),"")</f>
        <v/>
      </c>
      <c r="K102" s="50" t="str">
        <f>IF(AND('Mapa final'!$AB$143="Alta",'Mapa final'!$AD$143="Leve"),CONCATENATE("R47C",'Mapa final'!$R$143),"")</f>
        <v/>
      </c>
      <c r="L102" s="111" t="str">
        <f>IF(AND('Mapa final'!$AB$144="Alta",'Mapa final'!$AD$144="Leve"),CONCATENATE("R47C",'Mapa final'!$R$144),"")</f>
        <v/>
      </c>
      <c r="M102" s="49" t="str">
        <f>IF(AND('Mapa final'!$AB$142="Alta",'Mapa final'!$AD$142="Menor"),CONCATENATE("R47C",'Mapa final'!$R$142),"")</f>
        <v/>
      </c>
      <c r="N102" s="50" t="str">
        <f>IF(AND('Mapa final'!$AB$143="Alta",'Mapa final'!$AD$143="Menor"),CONCATENATE("R47C",'Mapa final'!$R$143),"")</f>
        <v/>
      </c>
      <c r="O102" s="111" t="str">
        <f>IF(AND('Mapa final'!$AB$144="Alta",'Mapa final'!$AD$144="Menor"),CONCATENATE("R47C",'Mapa final'!$R$144),"")</f>
        <v/>
      </c>
      <c r="P102" s="105" t="str">
        <f>IF(AND('Mapa final'!$AB$142="Alta",'Mapa final'!$AD$142="Moderado"),CONCATENATE("R47C",'Mapa final'!$R$142),"")</f>
        <v/>
      </c>
      <c r="Q102" s="42" t="str">
        <f>IF(AND('Mapa final'!$AB$143="Alta",'Mapa final'!$AD$143="Moderado"),CONCATENATE("R47C",'Mapa final'!$R$143),"")</f>
        <v/>
      </c>
      <c r="R102" s="106" t="str">
        <f>IF(AND('Mapa final'!$AB$144="Alta",'Mapa final'!$AD$144="Moderado"),CONCATENATE("R47C",'Mapa final'!$R$144),"")</f>
        <v/>
      </c>
      <c r="S102" s="105" t="str">
        <f>IF(AND('Mapa final'!$AB$142="Alta",'Mapa final'!$AD$142="Mayor"),CONCATENATE("R47C",'Mapa final'!$R$142),"")</f>
        <v/>
      </c>
      <c r="T102" s="42" t="str">
        <f>IF(AND('Mapa final'!$AB$143="Alta",'Mapa final'!$AD$143="Mayor"),CONCATENATE("R47C",'Mapa final'!$R$143),"")</f>
        <v/>
      </c>
      <c r="U102" s="106" t="str">
        <f>IF(AND('Mapa final'!$AB$144="Alta",'Mapa final'!$AD$144="Mayor"),CONCATENATE("R47C",'Mapa final'!$R$144),"")</f>
        <v/>
      </c>
      <c r="V102" s="43" t="str">
        <f>IF(AND('Mapa final'!$AB$142="Alta",'Mapa final'!$AD$142="Catastrófico"),CONCATENATE("R47C",'Mapa final'!$R$142),"")</f>
        <v/>
      </c>
      <c r="W102" s="44" t="str">
        <f>IF(AND('Mapa final'!$AB$143="Alta",'Mapa final'!$AD$143="Catastrófico"),CONCATENATE("R47C",'Mapa final'!$R$143),"")</f>
        <v/>
      </c>
      <c r="X102" s="100" t="str">
        <f>IF(AND('Mapa final'!$AB$144="Alta",'Mapa final'!$AD$144="Catastrófico"),CONCATENATE("R47C",'Mapa final'!$R$144),"")</f>
        <v/>
      </c>
      <c r="Y102" s="56"/>
      <c r="Z102" s="282"/>
      <c r="AA102" s="283"/>
      <c r="AB102" s="283"/>
      <c r="AC102" s="283"/>
      <c r="AD102" s="283"/>
      <c r="AE102" s="284"/>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row>
    <row r="103" spans="1:61" ht="15" customHeight="1" x14ac:dyDescent="0.35">
      <c r="A103" s="56"/>
      <c r="B103" s="300"/>
      <c r="C103" s="300"/>
      <c r="D103" s="301"/>
      <c r="E103" s="289"/>
      <c r="F103" s="290"/>
      <c r="G103" s="290"/>
      <c r="H103" s="290"/>
      <c r="I103" s="288"/>
      <c r="J103" s="49" t="str">
        <f>IF(AND('Mapa final'!$AB$145="Alta",'Mapa final'!$AD$145="Leve"),CONCATENATE("R48C",'Mapa final'!$R$145),"")</f>
        <v/>
      </c>
      <c r="K103" s="50" t="str">
        <f>IF(AND('Mapa final'!$AB$146="Alta",'Mapa final'!$AD$146="Leve"),CONCATENATE("R48C",'Mapa final'!$R$146),"")</f>
        <v/>
      </c>
      <c r="L103" s="111" t="str">
        <f>IF(AND('Mapa final'!$AB$147="Alta",'Mapa final'!$AD$147="Leve"),CONCATENATE("R48C",'Mapa final'!$R$147),"")</f>
        <v/>
      </c>
      <c r="M103" s="49" t="str">
        <f>IF(AND('Mapa final'!$AB$145="Alta",'Mapa final'!$AD$145="Menor"),CONCATENATE("R48C",'Mapa final'!$R$145),"")</f>
        <v/>
      </c>
      <c r="N103" s="50" t="str">
        <f>IF(AND('Mapa final'!$AB$146="Alta",'Mapa final'!$AD$146="Menor"),CONCATENATE("R48C",'Mapa final'!$R$146),"")</f>
        <v/>
      </c>
      <c r="O103" s="111" t="str">
        <f>IF(AND('Mapa final'!$AB$147="Alta",'Mapa final'!$AD$147="Menor"),CONCATENATE("R48C",'Mapa final'!$R$147),"")</f>
        <v/>
      </c>
      <c r="P103" s="105" t="str">
        <f>IF(AND('Mapa final'!$AB$145="Alta",'Mapa final'!$AD$145="Moderado"),CONCATENATE("R48C",'Mapa final'!$R$145),"")</f>
        <v/>
      </c>
      <c r="Q103" s="42" t="str">
        <f>IF(AND('Mapa final'!$AB$146="Alta",'Mapa final'!$AD$146="Moderado"),CONCATENATE("R48C",'Mapa final'!$R$146),"")</f>
        <v/>
      </c>
      <c r="R103" s="106" t="str">
        <f>IF(AND('Mapa final'!$AB$147="Alta",'Mapa final'!$AD$147="Moderado"),CONCATENATE("R48C",'Mapa final'!$R$147),"")</f>
        <v/>
      </c>
      <c r="S103" s="105" t="str">
        <f>IF(AND('Mapa final'!$AB$145="Alta",'Mapa final'!$AD$145="Mayor"),CONCATENATE("R48C",'Mapa final'!$R$145),"")</f>
        <v/>
      </c>
      <c r="T103" s="42" t="str">
        <f>IF(AND('Mapa final'!$AB$146="Alta",'Mapa final'!$AD$146="Mayor"),CONCATENATE("R48C",'Mapa final'!$R$146),"")</f>
        <v/>
      </c>
      <c r="U103" s="106" t="str">
        <f>IF(AND('Mapa final'!$AB$147="Alta",'Mapa final'!$AD$147="Mayor"),CONCATENATE("R48C",'Mapa final'!$R$147),"")</f>
        <v/>
      </c>
      <c r="V103" s="43" t="str">
        <f>IF(AND('Mapa final'!$AB$145="Alta",'Mapa final'!$AD$145="Catastrófico"),CONCATENATE("R48C",'Mapa final'!$R$145),"")</f>
        <v/>
      </c>
      <c r="W103" s="44" t="str">
        <f>IF(AND('Mapa final'!$AB$146="Alta",'Mapa final'!$AD$146="Catastrófico"),CONCATENATE("R48C",'Mapa final'!$R$146),"")</f>
        <v/>
      </c>
      <c r="X103" s="100" t="str">
        <f>IF(AND('Mapa final'!$AB$147="Alta",'Mapa final'!$AD$147="Catastrófico"),CONCATENATE("R48C",'Mapa final'!$R$147),"")</f>
        <v/>
      </c>
      <c r="Y103" s="56"/>
      <c r="Z103" s="282"/>
      <c r="AA103" s="283"/>
      <c r="AB103" s="283"/>
      <c r="AC103" s="283"/>
      <c r="AD103" s="283"/>
      <c r="AE103" s="284"/>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row>
    <row r="104" spans="1:61" ht="15" customHeight="1" x14ac:dyDescent="0.35">
      <c r="A104" s="56"/>
      <c r="B104" s="300"/>
      <c r="C104" s="300"/>
      <c r="D104" s="301"/>
      <c r="E104" s="289"/>
      <c r="F104" s="290"/>
      <c r="G104" s="290"/>
      <c r="H104" s="290"/>
      <c r="I104" s="288"/>
      <c r="J104" s="49" t="str">
        <f>IF(AND('Mapa final'!$AB$148="Alta",'Mapa final'!$AD$148="Leve"),CONCATENATE("R49C",'Mapa final'!$R$148),"")</f>
        <v/>
      </c>
      <c r="K104" s="50" t="str">
        <f>IF(AND('Mapa final'!$AB$149="Alta",'Mapa final'!$AD$149="Leve"),CONCATENATE("R49C",'Mapa final'!$R$149),"")</f>
        <v/>
      </c>
      <c r="L104" s="111" t="str">
        <f>IF(AND('Mapa final'!$AB$150="Alta",'Mapa final'!$AD$150="Leve"),CONCATENATE("R49C",'Mapa final'!$R$150),"")</f>
        <v/>
      </c>
      <c r="M104" s="49" t="str">
        <f>IF(AND('Mapa final'!$AB$148="Alta",'Mapa final'!$AD$148="Menor"),CONCATENATE("R49C",'Mapa final'!$R$148),"")</f>
        <v/>
      </c>
      <c r="N104" s="50" t="str">
        <f>IF(AND('Mapa final'!$AB$149="Alta",'Mapa final'!$AD$149="Menor"),CONCATENATE("R49C",'Mapa final'!$R$149),"")</f>
        <v/>
      </c>
      <c r="O104" s="111" t="str">
        <f>IF(AND('Mapa final'!$AB$150="Alta",'Mapa final'!$AD$150="Menor"),CONCATENATE("R49C",'Mapa final'!$R$150),"")</f>
        <v/>
      </c>
      <c r="P104" s="105" t="str">
        <f>IF(AND('Mapa final'!$AB$148="Alta",'Mapa final'!$AD$148="Moderado"),CONCATENATE("R49C",'Mapa final'!$R$148),"")</f>
        <v/>
      </c>
      <c r="Q104" s="42" t="str">
        <f>IF(AND('Mapa final'!$AB$149="Alta",'Mapa final'!$AD$149="Moderado"),CONCATENATE("R49C",'Mapa final'!$R$149),"")</f>
        <v/>
      </c>
      <c r="R104" s="106" t="str">
        <f>IF(AND('Mapa final'!$AB$150="Alta",'Mapa final'!$AD$150="Moderado"),CONCATENATE("R49C",'Mapa final'!$R$150),"")</f>
        <v/>
      </c>
      <c r="S104" s="105" t="str">
        <f>IF(AND('Mapa final'!$AB$148="Alta",'Mapa final'!$AD$148="Mayor"),CONCATENATE("R49C",'Mapa final'!$R$148),"")</f>
        <v/>
      </c>
      <c r="T104" s="42" t="str">
        <f>IF(AND('Mapa final'!$AB$149="Alta",'Mapa final'!$AD$149="Mayor"),CONCATENATE("R49C",'Mapa final'!$R$149),"")</f>
        <v/>
      </c>
      <c r="U104" s="106" t="str">
        <f>IF(AND('Mapa final'!$AB$150="Alta",'Mapa final'!$AD$150="Mayor"),CONCATENATE("R49C",'Mapa final'!$R$150),"")</f>
        <v/>
      </c>
      <c r="V104" s="43" t="str">
        <f>IF(AND('Mapa final'!$AB$148="Alta",'Mapa final'!$AD$148="Catastrófico"),CONCATENATE("R49C",'Mapa final'!$R$148),"")</f>
        <v/>
      </c>
      <c r="W104" s="44" t="str">
        <f>IF(AND('Mapa final'!$AB$149="Alta",'Mapa final'!$AD$149="Catastrófico"),CONCATENATE("R49C",'Mapa final'!$R$149),"")</f>
        <v/>
      </c>
      <c r="X104" s="100" t="str">
        <f>IF(AND('Mapa final'!$AB$150="Alta",'Mapa final'!$AD$150="Catastrófico"),CONCATENATE("R49C",'Mapa final'!$R$150),"")</f>
        <v/>
      </c>
      <c r="Y104" s="56"/>
      <c r="Z104" s="282"/>
      <c r="AA104" s="283"/>
      <c r="AB104" s="283"/>
      <c r="AC104" s="283"/>
      <c r="AD104" s="283"/>
      <c r="AE104" s="284"/>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row>
    <row r="105" spans="1:61" ht="15" customHeight="1" thickBot="1" x14ac:dyDescent="0.4">
      <c r="A105" s="56"/>
      <c r="B105" s="300"/>
      <c r="C105" s="300"/>
      <c r="D105" s="301"/>
      <c r="E105" s="289"/>
      <c r="F105" s="290"/>
      <c r="G105" s="290"/>
      <c r="H105" s="290"/>
      <c r="I105" s="288"/>
      <c r="J105" s="51" t="str">
        <f>IF(AND('Mapa final'!$AB$151="Alta",'Mapa final'!$AD$151="Leve"),CONCATENATE("R50C",'Mapa final'!$R$151),"")</f>
        <v/>
      </c>
      <c r="K105" s="52" t="str">
        <f>IF(AND('Mapa final'!$AB$152="Alta",'Mapa final'!$AD$152="Leve"),CONCATENATE("R50C",'Mapa final'!$R$152),"")</f>
        <v/>
      </c>
      <c r="L105" s="112" t="str">
        <f>IF(AND('Mapa final'!$AB$153="Alta",'Mapa final'!$AD$153="Leve"),CONCATENATE("R50C",'Mapa final'!$R$153),"")</f>
        <v/>
      </c>
      <c r="M105" s="51" t="str">
        <f>IF(AND('Mapa final'!$AB$151="Alta",'Mapa final'!$AD$151="Menor"),CONCATENATE("R50C",'Mapa final'!$R$151),"")</f>
        <v/>
      </c>
      <c r="N105" s="52" t="str">
        <f>IF(AND('Mapa final'!$AB$152="Alta",'Mapa final'!$AD$152="Menor"),CONCATENATE("R50C",'Mapa final'!$R$152),"")</f>
        <v/>
      </c>
      <c r="O105" s="112" t="str">
        <f>IF(AND('Mapa final'!$AB$153="Alta",'Mapa final'!$AD$153="Menor"),CONCATENATE("R50C",'Mapa final'!$R$153),"")</f>
        <v/>
      </c>
      <c r="P105" s="105" t="str">
        <f>IF(AND('Mapa final'!$AB$151="Alta",'Mapa final'!$AD$151="Moderado"),CONCATENATE("R50C",'Mapa final'!$R$151),"")</f>
        <v/>
      </c>
      <c r="Q105" s="42" t="str">
        <f>IF(AND('Mapa final'!$AB$152="Alta",'Mapa final'!$AD$152="Moderado"),CONCATENATE("R50C",'Mapa final'!$R$152),"")</f>
        <v/>
      </c>
      <c r="R105" s="106" t="str">
        <f>IF(AND('Mapa final'!$AB$153="Alta",'Mapa final'!$AD$153="Moderado"),CONCATENATE("R50C",'Mapa final'!$R$153),"")</f>
        <v/>
      </c>
      <c r="S105" s="107" t="str">
        <f>IF(AND('Mapa final'!$AB$151="Alta",'Mapa final'!$AD$151="Mayor"),CONCATENATE("R50C",'Mapa final'!$R$151),"")</f>
        <v/>
      </c>
      <c r="T105" s="108" t="str">
        <f>IF(AND('Mapa final'!$AB$152="Alta",'Mapa final'!$AD$152="Mayor"),CONCATENATE("R50C",'Mapa final'!$R$152),"")</f>
        <v/>
      </c>
      <c r="U105" s="109" t="str">
        <f>IF(AND('Mapa final'!$AB$153="Alta",'Mapa final'!$AD$153="Mayor"),CONCATENATE("R50C",'Mapa final'!$R$153),"")</f>
        <v/>
      </c>
      <c r="V105" s="45" t="str">
        <f>IF(AND('Mapa final'!$AB$151="Alta",'Mapa final'!$AD$151="Catastrófico"),CONCATENATE("R50C",'Mapa final'!$R$151),"")</f>
        <v/>
      </c>
      <c r="W105" s="46" t="str">
        <f>IF(AND('Mapa final'!$AB$152="Alta",'Mapa final'!$AD$152="Catastrófico"),CONCATENATE("R50C",'Mapa final'!$R$152),"")</f>
        <v/>
      </c>
      <c r="X105" s="101" t="str">
        <f>IF(AND('Mapa final'!$AB$153="Alta",'Mapa final'!$AD$153="Catastrófico"),CONCATENATE("R50C",'Mapa final'!$R$153),"")</f>
        <v/>
      </c>
      <c r="Y105" s="56"/>
      <c r="Z105" s="282"/>
      <c r="AA105" s="283"/>
      <c r="AB105" s="283"/>
      <c r="AC105" s="283"/>
      <c r="AD105" s="283"/>
      <c r="AE105" s="284"/>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row>
    <row r="106" spans="1:61" ht="15" customHeight="1" x14ac:dyDescent="0.35">
      <c r="A106" s="56"/>
      <c r="B106" s="300"/>
      <c r="C106" s="300"/>
      <c r="D106" s="301"/>
      <c r="E106" s="285" t="s">
        <v>108</v>
      </c>
      <c r="F106" s="286"/>
      <c r="G106" s="286"/>
      <c r="H106" s="286"/>
      <c r="I106" s="286"/>
      <c r="J106" s="47" t="str">
        <f>IF(AND('Mapa final'!$AB$7="Media",'Mapa final'!$AD$7="Leve"),CONCATENATE("R1C",'Mapa final'!$R$7),"")</f>
        <v/>
      </c>
      <c r="K106" s="48" t="str">
        <f>IF(AND('Mapa final'!$AB$8="Media",'Mapa final'!$AD$8="Leve"),CONCATENATE("R1C",'Mapa final'!$R$8),"")</f>
        <v/>
      </c>
      <c r="L106" s="110" t="str">
        <f>IF(AND('Mapa final'!$AB$9="Media",'Mapa final'!$AD$9="Leve"),CONCATENATE("R1C",'Mapa final'!$R$9),"")</f>
        <v/>
      </c>
      <c r="M106" s="47" t="str">
        <f>IF(AND('Mapa final'!$AB$7="Media",'Mapa final'!$AD$7="Menor"),CONCATENATE("R1C",'Mapa final'!$R$7),"")</f>
        <v/>
      </c>
      <c r="N106" s="48" t="str">
        <f>IF(AND('Mapa final'!$AB$8="Media",'Mapa final'!$AD$8="Menor"),CONCATENATE("R1C",'Mapa final'!$R$8),"")</f>
        <v/>
      </c>
      <c r="O106" s="110" t="str">
        <f>IF(AND('Mapa final'!$AB$9="Media",'Mapa final'!$AD$9="Menor"),CONCATENATE("R1C",'Mapa final'!$R$9),"")</f>
        <v/>
      </c>
      <c r="P106" s="47" t="str">
        <f>IF(AND('Mapa final'!$AB$7="Media",'Mapa final'!$AD$7="Moderado"),CONCATENATE("R1C",'Mapa final'!$R$7),"")</f>
        <v/>
      </c>
      <c r="Q106" s="48" t="str">
        <f>IF(AND('Mapa final'!$AB$8="Media",'Mapa final'!$AD$8="Moderado"),CONCATENATE("R1C",'Mapa final'!$R$8),"")</f>
        <v/>
      </c>
      <c r="R106" s="110" t="str">
        <f>IF(AND('Mapa final'!$AB$9="Media",'Mapa final'!$AD$9="Moderado"),CONCATENATE("R1C",'Mapa final'!$R$9),"")</f>
        <v/>
      </c>
      <c r="S106" s="102" t="str">
        <f>IF(AND('Mapa final'!$AB$7="Media",'Mapa final'!$AD$7="Mayor"),CONCATENATE("R1C",'Mapa final'!$R$7),"")</f>
        <v/>
      </c>
      <c r="T106" s="103" t="str">
        <f>IF(AND('Mapa final'!$AB$8="Media",'Mapa final'!$AD$8="Mayor"),CONCATENATE("R1C",'Mapa final'!$R$8),"")</f>
        <v/>
      </c>
      <c r="U106" s="104" t="str">
        <f>IF(AND('Mapa final'!$AB$9="Media",'Mapa final'!$AD$9="Mayor"),CONCATENATE("R1C",'Mapa final'!$R$9),"")</f>
        <v/>
      </c>
      <c r="V106" s="40" t="str">
        <f>IF(AND('Mapa final'!$AB$7="Media",'Mapa final'!$AD$7="Catastrófico"),CONCATENATE("R1C",'Mapa final'!$R$7),"")</f>
        <v/>
      </c>
      <c r="W106" s="41" t="str">
        <f>IF(AND('Mapa final'!$AB$8="Media",'Mapa final'!$AD$8="Catastrófico"),CONCATENATE("R1C",'Mapa final'!$R$8),"")</f>
        <v/>
      </c>
      <c r="X106" s="99" t="str">
        <f>IF(AND('Mapa final'!$AB$9="Media",'Mapa final'!$AD$9="Catastrófico"),CONCATENATE("R1C",'Mapa final'!$R$9),"")</f>
        <v/>
      </c>
      <c r="Y106" s="56"/>
      <c r="Z106" s="308" t="s">
        <v>75</v>
      </c>
      <c r="AA106" s="309"/>
      <c r="AB106" s="309"/>
      <c r="AC106" s="309"/>
      <c r="AD106" s="309"/>
      <c r="AE106" s="310"/>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c r="BI106" s="56"/>
    </row>
    <row r="107" spans="1:61" ht="15" customHeight="1" x14ac:dyDescent="0.35">
      <c r="A107" s="56"/>
      <c r="B107" s="300"/>
      <c r="C107" s="300"/>
      <c r="D107" s="301"/>
      <c r="E107" s="287"/>
      <c r="F107" s="288"/>
      <c r="G107" s="288"/>
      <c r="H107" s="288"/>
      <c r="I107" s="288"/>
      <c r="J107" s="49" t="str">
        <f>IF(AND('Mapa final'!$AB$10="Media",'Mapa final'!$AD$10="Leve"),CONCATENATE("R2C",'Mapa final'!$R$10),"")</f>
        <v/>
      </c>
      <c r="K107" s="50" t="str">
        <f>IF(AND('Mapa final'!$AB$11="Media",'Mapa final'!$AD$11="Leve"),CONCATENATE("R2C",'Mapa final'!$R$11),"")</f>
        <v/>
      </c>
      <c r="L107" s="111" t="str">
        <f>IF(AND('Mapa final'!$AB$12="Media",'Mapa final'!$AD$12="Leve"),CONCATENATE("R2C",'Mapa final'!$R$12),"")</f>
        <v/>
      </c>
      <c r="M107" s="49" t="str">
        <f>IF(AND('Mapa final'!$AB$10="Media",'Mapa final'!$AD$10="Menor"),CONCATENATE("R2C",'Mapa final'!$R$10),"")</f>
        <v/>
      </c>
      <c r="N107" s="50" t="str">
        <f>IF(AND('Mapa final'!$AB$11="Media",'Mapa final'!$AD$11="Menor"),CONCATENATE("R2C",'Mapa final'!$R$11),"")</f>
        <v/>
      </c>
      <c r="O107" s="111" t="str">
        <f>IF(AND('Mapa final'!$AB$12="Media",'Mapa final'!$AD$12="Menor"),CONCATENATE("R2C",'Mapa final'!$R$12),"")</f>
        <v/>
      </c>
      <c r="P107" s="49" t="str">
        <f>IF(AND('Mapa final'!$AB$10="Media",'Mapa final'!$AD$10="Moderado"),CONCATENATE("R2C",'Mapa final'!$R$10),"")</f>
        <v/>
      </c>
      <c r="Q107" s="50" t="str">
        <f>IF(AND('Mapa final'!$AB$11="Media",'Mapa final'!$AD$11="Moderado"),CONCATENATE("R2C",'Mapa final'!$R$11),"")</f>
        <v/>
      </c>
      <c r="R107" s="111" t="str">
        <f>IF(AND('Mapa final'!$AB$12="Media",'Mapa final'!$AD$12="Moderado"),CONCATENATE("R2C",'Mapa final'!$R$12),"")</f>
        <v/>
      </c>
      <c r="S107" s="105" t="str">
        <f>IF(AND('Mapa final'!$AB$10="Media",'Mapa final'!$AD$10="Mayor"),CONCATENATE("R2C",'Mapa final'!$R$10),"")</f>
        <v/>
      </c>
      <c r="T107" s="42" t="str">
        <f>IF(AND('Mapa final'!$AB$11="Media",'Mapa final'!$AD$11="Mayor"),CONCATENATE("R2C",'Mapa final'!$R$11),"")</f>
        <v/>
      </c>
      <c r="U107" s="106" t="str">
        <f>IF(AND('Mapa final'!$AB$12="Media",'Mapa final'!$AD$12="Mayor"),CONCATENATE("R2C",'Mapa final'!$R$12),"")</f>
        <v/>
      </c>
      <c r="V107" s="43" t="str">
        <f>IF(AND('Mapa final'!$AB$10="Media",'Mapa final'!$AD$10="Catastrófico"),CONCATENATE("R2C",'Mapa final'!$R$10),"")</f>
        <v/>
      </c>
      <c r="W107" s="44" t="str">
        <f>IF(AND('Mapa final'!$AB$11="Media",'Mapa final'!$AD$11="Catastrófico"),CONCATENATE("R2C",'Mapa final'!$R$11),"")</f>
        <v/>
      </c>
      <c r="X107" s="100" t="str">
        <f>IF(AND('Mapa final'!$AB$12="Media",'Mapa final'!$AD$12="Catastrófico"),CONCATENATE("R2C",'Mapa final'!$R$12),"")</f>
        <v/>
      </c>
      <c r="Y107" s="56"/>
      <c r="Z107" s="311"/>
      <c r="AA107" s="312"/>
      <c r="AB107" s="312"/>
      <c r="AC107" s="312"/>
      <c r="AD107" s="312"/>
      <c r="AE107" s="313"/>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c r="BI107" s="56"/>
    </row>
    <row r="108" spans="1:61" ht="15" customHeight="1" x14ac:dyDescent="0.35">
      <c r="A108" s="56"/>
      <c r="B108" s="300"/>
      <c r="C108" s="300"/>
      <c r="D108" s="301"/>
      <c r="E108" s="289"/>
      <c r="F108" s="290"/>
      <c r="G108" s="290"/>
      <c r="H108" s="290"/>
      <c r="I108" s="288"/>
      <c r="J108" s="49" t="str">
        <f>IF(AND('Mapa final'!$AB$13="Media",'Mapa final'!$AD$13="Leve"),CONCATENATE("R3C",'Mapa final'!$R$13),"")</f>
        <v/>
      </c>
      <c r="K108" s="50" t="str">
        <f>IF(AND('Mapa final'!$AB$14="Media",'Mapa final'!$AD$14="Leve"),CONCATENATE("R3C",'Mapa final'!$R$14),"")</f>
        <v/>
      </c>
      <c r="L108" s="111" t="str">
        <f>IF(AND('Mapa final'!$AB$15="Media",'Mapa final'!$AD$15="Leve"),CONCATENATE("R3C",'Mapa final'!$R$15),"")</f>
        <v/>
      </c>
      <c r="M108" s="49" t="str">
        <f>IF(AND('Mapa final'!$AB$13="Media",'Mapa final'!$AD$13="Menor"),CONCATENATE("R3C",'Mapa final'!$R$13),"")</f>
        <v/>
      </c>
      <c r="N108" s="50" t="str">
        <f>IF(AND('Mapa final'!$AB$14="Media",'Mapa final'!$AD$14="Menor"),CONCATENATE("R3C",'Mapa final'!$R$14),"")</f>
        <v/>
      </c>
      <c r="O108" s="111" t="str">
        <f>IF(AND('Mapa final'!$AB$15="Media",'Mapa final'!$AD$15="Menor"),CONCATENATE("R3C",'Mapa final'!$R$15),"")</f>
        <v/>
      </c>
      <c r="P108" s="49" t="str">
        <f>IF(AND('Mapa final'!$AB$13="Media",'Mapa final'!$AD$13="Moderado"),CONCATENATE("R3C",'Mapa final'!$R$13),"")</f>
        <v>R3C1</v>
      </c>
      <c r="Q108" s="50" t="str">
        <f>IF(AND('Mapa final'!$AB$14="Media",'Mapa final'!$AD$14="Moderado"),CONCATENATE("R3C",'Mapa final'!$R$14),"")</f>
        <v/>
      </c>
      <c r="R108" s="111" t="str">
        <f>IF(AND('Mapa final'!$AB$15="Media",'Mapa final'!$AD$15="Moderado"),CONCATENATE("R3C",'Mapa final'!$R$15),"")</f>
        <v/>
      </c>
      <c r="S108" s="105" t="str">
        <f>IF(AND('Mapa final'!$AB$13="Media",'Mapa final'!$AD$13="Mayor"),CONCATENATE("R3C",'Mapa final'!$R$13),"")</f>
        <v/>
      </c>
      <c r="T108" s="42" t="str">
        <f>IF(AND('Mapa final'!$AB$14="Media",'Mapa final'!$AD$14="Mayor"),CONCATENATE("R3C",'Mapa final'!$R$14),"")</f>
        <v/>
      </c>
      <c r="U108" s="106" t="str">
        <f>IF(AND('Mapa final'!$AB$15="Media",'Mapa final'!$AD$15="Mayor"),CONCATENATE("R3C",'Mapa final'!$R$15),"")</f>
        <v/>
      </c>
      <c r="V108" s="43" t="str">
        <f>IF(AND('Mapa final'!$AB$13="Media",'Mapa final'!$AD$13="Catastrófico"),CONCATENATE("R3C",'Mapa final'!$R$13),"")</f>
        <v/>
      </c>
      <c r="W108" s="44" t="str">
        <f>IF(AND('Mapa final'!$AB$14="Media",'Mapa final'!$AD$14="Catastrófico"),CONCATENATE("R3C",'Mapa final'!$R$14),"")</f>
        <v/>
      </c>
      <c r="X108" s="100" t="str">
        <f>IF(AND('Mapa final'!$AB$15="Media",'Mapa final'!$AD$15="Catastrófico"),CONCATENATE("R3C",'Mapa final'!$R$15),"")</f>
        <v/>
      </c>
      <c r="Y108" s="56"/>
      <c r="Z108" s="311"/>
      <c r="AA108" s="312"/>
      <c r="AB108" s="312"/>
      <c r="AC108" s="312"/>
      <c r="AD108" s="312"/>
      <c r="AE108" s="313"/>
      <c r="AF108" s="56"/>
      <c r="AG108" s="56"/>
      <c r="AH108" s="56"/>
      <c r="AI108" s="56"/>
      <c r="AJ108" s="56"/>
      <c r="AK108" s="56"/>
      <c r="AL108" s="56"/>
      <c r="AM108" s="56"/>
      <c r="AN108" s="56"/>
      <c r="AO108" s="56"/>
      <c r="AP108" s="56"/>
      <c r="AQ108" s="56"/>
      <c r="AR108" s="56"/>
      <c r="AS108" s="56"/>
      <c r="AT108" s="56"/>
      <c r="AU108" s="56"/>
      <c r="AV108" s="56"/>
      <c r="AW108" s="56"/>
      <c r="AX108" s="56"/>
      <c r="AY108" s="56"/>
      <c r="AZ108" s="56"/>
      <c r="BA108" s="56"/>
      <c r="BB108" s="56"/>
      <c r="BC108" s="56"/>
      <c r="BD108" s="56"/>
      <c r="BE108" s="56"/>
      <c r="BF108" s="56"/>
      <c r="BG108" s="56"/>
      <c r="BH108" s="56"/>
      <c r="BI108" s="56"/>
    </row>
    <row r="109" spans="1:61" ht="15" customHeight="1" x14ac:dyDescent="0.35">
      <c r="A109" s="56"/>
      <c r="B109" s="300"/>
      <c r="C109" s="300"/>
      <c r="D109" s="301"/>
      <c r="E109" s="289"/>
      <c r="F109" s="290"/>
      <c r="G109" s="290"/>
      <c r="H109" s="290"/>
      <c r="I109" s="288"/>
      <c r="J109" s="49" t="e">
        <f>IF(AND('Mapa final'!#REF!="Media",'Mapa final'!#REF!="Leve"),CONCATENATE("R4C",'Mapa final'!#REF!),"")</f>
        <v>#REF!</v>
      </c>
      <c r="K109" s="50" t="e">
        <f>IF(AND('Mapa final'!#REF!="Media",'Mapa final'!#REF!="Leve"),CONCATENATE("R4C",'Mapa final'!#REF!),"")</f>
        <v>#REF!</v>
      </c>
      <c r="L109" s="111" t="e">
        <f>IF(AND('Mapa final'!#REF!="Media",'Mapa final'!#REF!="Leve"),CONCATENATE("R4C",'Mapa final'!#REF!),"")</f>
        <v>#REF!</v>
      </c>
      <c r="M109" s="49" t="e">
        <f>IF(AND('Mapa final'!#REF!="Media",'Mapa final'!#REF!="Menor"),CONCATENATE("R4C",'Mapa final'!#REF!),"")</f>
        <v>#REF!</v>
      </c>
      <c r="N109" s="50" t="e">
        <f>IF(AND('Mapa final'!#REF!="Media",'Mapa final'!#REF!="Menor"),CONCATENATE("R4C",'Mapa final'!#REF!),"")</f>
        <v>#REF!</v>
      </c>
      <c r="O109" s="111" t="e">
        <f>IF(AND('Mapa final'!#REF!="Media",'Mapa final'!#REF!="Menor"),CONCATENATE("R4C",'Mapa final'!#REF!),"")</f>
        <v>#REF!</v>
      </c>
      <c r="P109" s="49" t="e">
        <f>IF(AND('Mapa final'!#REF!="Media",'Mapa final'!#REF!="Moderado"),CONCATENATE("R4C",'Mapa final'!#REF!),"")</f>
        <v>#REF!</v>
      </c>
      <c r="Q109" s="50" t="e">
        <f>IF(AND('Mapa final'!#REF!="Media",'Mapa final'!#REF!="Moderado"),CONCATENATE("R4C",'Mapa final'!#REF!),"")</f>
        <v>#REF!</v>
      </c>
      <c r="R109" s="111" t="e">
        <f>IF(AND('Mapa final'!#REF!="Media",'Mapa final'!#REF!="Moderado"),CONCATENATE("R4C",'Mapa final'!#REF!),"")</f>
        <v>#REF!</v>
      </c>
      <c r="S109" s="105" t="e">
        <f>IF(AND('Mapa final'!#REF!="Media",'Mapa final'!#REF!="Mayor"),CONCATENATE("R4C",'Mapa final'!#REF!),"")</f>
        <v>#REF!</v>
      </c>
      <c r="T109" s="42" t="e">
        <f>IF(AND('Mapa final'!#REF!="Media",'Mapa final'!#REF!="Mayor"),CONCATENATE("R4C",'Mapa final'!#REF!),"")</f>
        <v>#REF!</v>
      </c>
      <c r="U109" s="106" t="e">
        <f>IF(AND('Mapa final'!#REF!="Media",'Mapa final'!#REF!="Mayor"),CONCATENATE("R4C",'Mapa final'!#REF!),"")</f>
        <v>#REF!</v>
      </c>
      <c r="V109" s="43" t="e">
        <f>IF(AND('Mapa final'!#REF!="Media",'Mapa final'!#REF!="Catastrófico"),CONCATENATE("R4C",'Mapa final'!#REF!),"")</f>
        <v>#REF!</v>
      </c>
      <c r="W109" s="44" t="e">
        <f>IF(AND('Mapa final'!#REF!="Media",'Mapa final'!#REF!="Catastrófico"),CONCATENATE("R4C",'Mapa final'!#REF!),"")</f>
        <v>#REF!</v>
      </c>
      <c r="X109" s="100" t="e">
        <f>IF(AND('Mapa final'!#REF!="Media",'Mapa final'!#REF!="Catastrófico"),CONCATENATE("R4C",'Mapa final'!#REF!),"")</f>
        <v>#REF!</v>
      </c>
      <c r="Y109" s="56"/>
      <c r="Z109" s="311"/>
      <c r="AA109" s="312"/>
      <c r="AB109" s="312"/>
      <c r="AC109" s="312"/>
      <c r="AD109" s="312"/>
      <c r="AE109" s="313"/>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c r="BI109" s="56"/>
    </row>
    <row r="110" spans="1:61" ht="15" customHeight="1" x14ac:dyDescent="0.35">
      <c r="A110" s="56"/>
      <c r="B110" s="300"/>
      <c r="C110" s="300"/>
      <c r="D110" s="301"/>
      <c r="E110" s="289"/>
      <c r="F110" s="290"/>
      <c r="G110" s="290"/>
      <c r="H110" s="290"/>
      <c r="I110" s="288"/>
      <c r="J110" s="49" t="str">
        <f>IF(AND('Mapa final'!$AB$16="Media",'Mapa final'!$AD$16="Leve"),CONCATENATE("R5C",'Mapa final'!$R$16),"")</f>
        <v/>
      </c>
      <c r="K110" s="50" t="str">
        <f>IF(AND('Mapa final'!$AB$17="Media",'Mapa final'!$AD$17="Leve"),CONCATENATE("R5C",'Mapa final'!$R$17),"")</f>
        <v/>
      </c>
      <c r="L110" s="111" t="str">
        <f>IF(AND('Mapa final'!$AB$18="Media",'Mapa final'!$AD$18="Leve"),CONCATENATE("R5C",'Mapa final'!$R$18),"")</f>
        <v/>
      </c>
      <c r="M110" s="49" t="str">
        <f>IF(AND('Mapa final'!$AB$16="Media",'Mapa final'!$AD$16="Menor"),CONCATENATE("R5C",'Mapa final'!$R$16),"")</f>
        <v/>
      </c>
      <c r="N110" s="50" t="str">
        <f>IF(AND('Mapa final'!$AB$17="Media",'Mapa final'!$AD$17="Menor"),CONCATENATE("R5C",'Mapa final'!$R$17),"")</f>
        <v/>
      </c>
      <c r="O110" s="111" t="str">
        <f>IF(AND('Mapa final'!$AB$18="Media",'Mapa final'!$AD$18="Menor"),CONCATENATE("R5C",'Mapa final'!$R$18),"")</f>
        <v/>
      </c>
      <c r="P110" s="49" t="str">
        <f>IF(AND('Mapa final'!$AB$16="Media",'Mapa final'!$AD$16="Moderado"),CONCATENATE("R5C",'Mapa final'!$R$16),"")</f>
        <v>R5C1</v>
      </c>
      <c r="Q110" s="50" t="str">
        <f>IF(AND('Mapa final'!$AB$17="Media",'Mapa final'!$AD$17="Moderado"),CONCATENATE("R5C",'Mapa final'!$R$17),"")</f>
        <v/>
      </c>
      <c r="R110" s="111" t="str">
        <f>IF(AND('Mapa final'!$AB$18="Media",'Mapa final'!$AD$18="Moderado"),CONCATENATE("R5C",'Mapa final'!$R$18),"")</f>
        <v/>
      </c>
      <c r="S110" s="105" t="str">
        <f>IF(AND('Mapa final'!$AB$16="Media",'Mapa final'!$AD$16="Mayor"),CONCATENATE("R5C",'Mapa final'!$R$16),"")</f>
        <v/>
      </c>
      <c r="T110" s="42" t="str">
        <f>IF(AND('Mapa final'!$AB$17="Media",'Mapa final'!$AD$17="Mayor"),CONCATENATE("R5C",'Mapa final'!$R$17),"")</f>
        <v/>
      </c>
      <c r="U110" s="106" t="str">
        <f>IF(AND('Mapa final'!$AB$18="Media",'Mapa final'!$AD$18="Mayor"),CONCATENATE("R5C",'Mapa final'!$R$18),"")</f>
        <v/>
      </c>
      <c r="V110" s="43" t="str">
        <f>IF(AND('Mapa final'!$AB$16="Media",'Mapa final'!$AD$16="Catastrófico"),CONCATENATE("R5C",'Mapa final'!$R$16),"")</f>
        <v/>
      </c>
      <c r="W110" s="44" t="str">
        <f>IF(AND('Mapa final'!$AB$17="Media",'Mapa final'!$AD$17="Catastrófico"),CONCATENATE("R5C",'Mapa final'!$R$17),"")</f>
        <v/>
      </c>
      <c r="X110" s="100" t="str">
        <f>IF(AND('Mapa final'!$AB$18="Media",'Mapa final'!$AD$18="Catastrófico"),CONCATENATE("R5C",'Mapa final'!$R$18),"")</f>
        <v/>
      </c>
      <c r="Y110" s="56"/>
      <c r="Z110" s="311"/>
      <c r="AA110" s="312"/>
      <c r="AB110" s="312"/>
      <c r="AC110" s="312"/>
      <c r="AD110" s="312"/>
      <c r="AE110" s="313"/>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c r="BF110" s="56"/>
      <c r="BG110" s="56"/>
      <c r="BH110" s="56"/>
      <c r="BI110" s="56"/>
    </row>
    <row r="111" spans="1:61" ht="15" customHeight="1" x14ac:dyDescent="0.35">
      <c r="A111" s="56"/>
      <c r="B111" s="300"/>
      <c r="C111" s="300"/>
      <c r="D111" s="301"/>
      <c r="E111" s="289"/>
      <c r="F111" s="290"/>
      <c r="G111" s="290"/>
      <c r="H111" s="290"/>
      <c r="I111" s="288"/>
      <c r="J111" s="49" t="str">
        <f>IF(AND('Mapa final'!$AB$19="Media",'Mapa final'!$AD$19="Leve"),CONCATENATE("R6C",'Mapa final'!$R$19),"")</f>
        <v/>
      </c>
      <c r="K111" s="50" t="str">
        <f>IF(AND('Mapa final'!$AB$20="Media",'Mapa final'!$AD$20="Leve"),CONCATENATE("R6C",'Mapa final'!$R$20),"")</f>
        <v/>
      </c>
      <c r="L111" s="111" t="str">
        <f>IF(AND('Mapa final'!$AB$21="Media",'Mapa final'!$AD$21="Leve"),CONCATENATE("R6C",'Mapa final'!$R$21),"")</f>
        <v/>
      </c>
      <c r="M111" s="49" t="str">
        <f>IF(AND('Mapa final'!$AB$19="Media",'Mapa final'!$AD$19="Menor"),CONCATENATE("R6C",'Mapa final'!$R$19),"")</f>
        <v/>
      </c>
      <c r="N111" s="50" t="str">
        <f>IF(AND('Mapa final'!$AB$20="Media",'Mapa final'!$AD$20="Menor"),CONCATENATE("R6C",'Mapa final'!$R$20),"")</f>
        <v/>
      </c>
      <c r="O111" s="111" t="str">
        <f>IF(AND('Mapa final'!$AB$21="Media",'Mapa final'!$AD$21="Menor"),CONCATENATE("R6C",'Mapa final'!$R$21),"")</f>
        <v/>
      </c>
      <c r="P111" s="49" t="str">
        <f>IF(AND('Mapa final'!$AB$19="Media",'Mapa final'!$AD$19="Moderado"),CONCATENATE("R6C",'Mapa final'!$R$19),"")</f>
        <v/>
      </c>
      <c r="Q111" s="50" t="str">
        <f>IF(AND('Mapa final'!$AB$20="Media",'Mapa final'!$AD$20="Moderado"),CONCATENATE("R6C",'Mapa final'!$R$20),"")</f>
        <v/>
      </c>
      <c r="R111" s="111" t="str">
        <f>IF(AND('Mapa final'!$AB$21="Media",'Mapa final'!$AD$21="Moderado"),CONCATENATE("R6C",'Mapa final'!$R$21),"")</f>
        <v/>
      </c>
      <c r="S111" s="105" t="str">
        <f>IF(AND('Mapa final'!$AB$19="Media",'Mapa final'!$AD$19="Mayor"),CONCATENATE("R6C",'Mapa final'!$R$19),"")</f>
        <v/>
      </c>
      <c r="T111" s="42" t="str">
        <f>IF(AND('Mapa final'!$AB$20="Media",'Mapa final'!$AD$20="Mayor"),CONCATENATE("R6C",'Mapa final'!$R$20),"")</f>
        <v/>
      </c>
      <c r="U111" s="106" t="str">
        <f>IF(AND('Mapa final'!$AB$21="Media",'Mapa final'!$AD$21="Mayor"),CONCATENATE("R6C",'Mapa final'!$R$21),"")</f>
        <v/>
      </c>
      <c r="V111" s="43" t="str">
        <f>IF(AND('Mapa final'!$AB$19="Media",'Mapa final'!$AD$19="Catastrófico"),CONCATENATE("R6C",'Mapa final'!$R$19),"")</f>
        <v/>
      </c>
      <c r="W111" s="44" t="str">
        <f>IF(AND('Mapa final'!$AB$20="Media",'Mapa final'!$AD$20="Catastrófico"),CONCATENATE("R6C",'Mapa final'!$R$20),"")</f>
        <v/>
      </c>
      <c r="X111" s="100" t="str">
        <f>IF(AND('Mapa final'!$AB$21="Media",'Mapa final'!$AD$21="Catastrófico"),CONCATENATE("R6C",'Mapa final'!$R$21),"")</f>
        <v/>
      </c>
      <c r="Y111" s="56"/>
      <c r="Z111" s="311"/>
      <c r="AA111" s="312"/>
      <c r="AB111" s="312"/>
      <c r="AC111" s="312"/>
      <c r="AD111" s="312"/>
      <c r="AE111" s="313"/>
      <c r="AF111" s="56"/>
      <c r="AG111" s="56"/>
      <c r="AH111" s="56"/>
      <c r="AI111" s="56"/>
      <c r="AJ111" s="56"/>
      <c r="AK111" s="56"/>
      <c r="AL111" s="56"/>
      <c r="AM111" s="56"/>
      <c r="AN111" s="56"/>
      <c r="AO111" s="56"/>
      <c r="AP111" s="56"/>
      <c r="AQ111" s="56"/>
      <c r="AR111" s="56"/>
      <c r="AS111" s="56"/>
      <c r="AT111" s="56"/>
      <c r="AU111" s="56"/>
      <c r="AV111" s="56"/>
      <c r="AW111" s="56"/>
      <c r="AX111" s="56"/>
      <c r="AY111" s="56"/>
      <c r="AZ111" s="56"/>
      <c r="BA111" s="56"/>
      <c r="BB111" s="56"/>
      <c r="BC111" s="56"/>
      <c r="BD111" s="56"/>
      <c r="BE111" s="56"/>
      <c r="BF111" s="56"/>
      <c r="BG111" s="56"/>
      <c r="BH111" s="56"/>
      <c r="BI111" s="56"/>
    </row>
    <row r="112" spans="1:61" ht="15" customHeight="1" x14ac:dyDescent="0.35">
      <c r="A112" s="56"/>
      <c r="B112" s="300"/>
      <c r="C112" s="300"/>
      <c r="D112" s="301"/>
      <c r="E112" s="289"/>
      <c r="F112" s="290"/>
      <c r="G112" s="290"/>
      <c r="H112" s="290"/>
      <c r="I112" s="288"/>
      <c r="J112" s="49" t="str">
        <f>IF(AND('Mapa final'!$AB$22="Media",'Mapa final'!$AD$22="Leve"),CONCATENATE("R7C",'Mapa final'!$R$22),"")</f>
        <v/>
      </c>
      <c r="K112" s="50" t="str">
        <f>IF(AND('Mapa final'!$AB$23="Media",'Mapa final'!$AD$23="Leve"),CONCATENATE("R7C",'Mapa final'!$R$23),"")</f>
        <v/>
      </c>
      <c r="L112" s="111" t="str">
        <f>IF(AND('Mapa final'!$AB$24="Media",'Mapa final'!$AD$24="Leve"),CONCATENATE("R7C",'Mapa final'!$R$24),"")</f>
        <v/>
      </c>
      <c r="M112" s="49" t="str">
        <f>IF(AND('Mapa final'!$AB$22="Media",'Mapa final'!$AD$22="Menor"),CONCATENATE("R7C",'Mapa final'!$R$22),"")</f>
        <v/>
      </c>
      <c r="N112" s="50" t="str">
        <f>IF(AND('Mapa final'!$AB$23="Media",'Mapa final'!$AD$23="Menor"),CONCATENATE("R7C",'Mapa final'!$R$23),"")</f>
        <v/>
      </c>
      <c r="O112" s="111" t="str">
        <f>IF(AND('Mapa final'!$AB$24="Media",'Mapa final'!$AD$24="Menor"),CONCATENATE("R7C",'Mapa final'!$R$24),"")</f>
        <v/>
      </c>
      <c r="P112" s="49" t="str">
        <f>IF(AND('Mapa final'!$AB$22="Media",'Mapa final'!$AD$22="Moderado"),CONCATENATE("R7C",'Mapa final'!$R$22),"")</f>
        <v/>
      </c>
      <c r="Q112" s="50" t="str">
        <f>IF(AND('Mapa final'!$AB$23="Media",'Mapa final'!$AD$23="Moderado"),CONCATENATE("R7C",'Mapa final'!$R$23),"")</f>
        <v/>
      </c>
      <c r="R112" s="111" t="str">
        <f>IF(AND('Mapa final'!$AB$24="Media",'Mapa final'!$AD$24="Moderado"),CONCATENATE("R7C",'Mapa final'!$R$24),"")</f>
        <v/>
      </c>
      <c r="S112" s="105" t="str">
        <f>IF(AND('Mapa final'!$AB$22="Media",'Mapa final'!$AD$22="Mayor"),CONCATENATE("R7C",'Mapa final'!$R$22),"")</f>
        <v/>
      </c>
      <c r="T112" s="42" t="str">
        <f>IF(AND('Mapa final'!$AB$23="Media",'Mapa final'!$AD$23="Mayor"),CONCATENATE("R7C",'Mapa final'!$R$23),"")</f>
        <v/>
      </c>
      <c r="U112" s="106" t="str">
        <f>IF(AND('Mapa final'!$AB$24="Media",'Mapa final'!$AD$24="Mayor"),CONCATENATE("R7C",'Mapa final'!$R$24),"")</f>
        <v/>
      </c>
      <c r="V112" s="43" t="str">
        <f>IF(AND('Mapa final'!$AB$22="Media",'Mapa final'!$AD$22="Catastrófico"),CONCATENATE("R7C",'Mapa final'!$R$22),"")</f>
        <v/>
      </c>
      <c r="W112" s="44" t="str">
        <f>IF(AND('Mapa final'!$AB$23="Media",'Mapa final'!$AD$23="Catastrófico"),CONCATENATE("R7C",'Mapa final'!$R$23),"")</f>
        <v/>
      </c>
      <c r="X112" s="100" t="str">
        <f>IF(AND('Mapa final'!$AB$24="Media",'Mapa final'!$AD$24="Catastrófico"),CONCATENATE("R7C",'Mapa final'!$R$24),"")</f>
        <v/>
      </c>
      <c r="Y112" s="56"/>
      <c r="Z112" s="311"/>
      <c r="AA112" s="312"/>
      <c r="AB112" s="312"/>
      <c r="AC112" s="312"/>
      <c r="AD112" s="312"/>
      <c r="AE112" s="313"/>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row>
    <row r="113" spans="1:61" ht="15" customHeight="1" x14ac:dyDescent="0.35">
      <c r="A113" s="56"/>
      <c r="B113" s="300"/>
      <c r="C113" s="300"/>
      <c r="D113" s="301"/>
      <c r="E113" s="289"/>
      <c r="F113" s="290"/>
      <c r="G113" s="290"/>
      <c r="H113" s="290"/>
      <c r="I113" s="288"/>
      <c r="J113" s="49" t="str">
        <f>IF(AND('Mapa final'!$AB$25="Media",'Mapa final'!$AD$25="Leve"),CONCATENATE("R8C",'Mapa final'!$R$25),"")</f>
        <v/>
      </c>
      <c r="K113" s="50" t="str">
        <f>IF(AND('Mapa final'!$AB$26="Media",'Mapa final'!$AD$26="Leve"),CONCATENATE("R8C",'Mapa final'!$R$26),"")</f>
        <v/>
      </c>
      <c r="L113" s="111" t="str">
        <f>IF(AND('Mapa final'!$AB$27="Media",'Mapa final'!$AD$27="Leve"),CONCATENATE("R8C",'Mapa final'!$R$27),"")</f>
        <v/>
      </c>
      <c r="M113" s="49" t="str">
        <f>IF(AND('Mapa final'!$AB$25="Media",'Mapa final'!$AD$25="Menor"),CONCATENATE("R8C",'Mapa final'!$R$25),"")</f>
        <v/>
      </c>
      <c r="N113" s="50" t="str">
        <f>IF(AND('Mapa final'!$AB$26="Media",'Mapa final'!$AD$26="Menor"),CONCATENATE("R8C",'Mapa final'!$R$26),"")</f>
        <v/>
      </c>
      <c r="O113" s="111" t="str">
        <f>IF(AND('Mapa final'!$AB$27="Media",'Mapa final'!$AD$27="Menor"),CONCATENATE("R8C",'Mapa final'!$R$27),"")</f>
        <v/>
      </c>
      <c r="P113" s="49" t="str">
        <f>IF(AND('Mapa final'!$AB$25="Media",'Mapa final'!$AD$25="Moderado"),CONCATENATE("R8C",'Mapa final'!$R$25),"")</f>
        <v>R8C1</v>
      </c>
      <c r="Q113" s="50" t="str">
        <f>IF(AND('Mapa final'!$AB$26="Media",'Mapa final'!$AD$26="Moderado"),CONCATENATE("R8C",'Mapa final'!$R$26),"")</f>
        <v/>
      </c>
      <c r="R113" s="111" t="str">
        <f>IF(AND('Mapa final'!$AB$27="Media",'Mapa final'!$AD$27="Moderado"),CONCATENATE("R8C",'Mapa final'!$R$27),"")</f>
        <v/>
      </c>
      <c r="S113" s="105" t="str">
        <f>IF(AND('Mapa final'!$AB$25="Media",'Mapa final'!$AD$25="Mayor"),CONCATENATE("R8C",'Mapa final'!$R$25),"")</f>
        <v/>
      </c>
      <c r="T113" s="42" t="str">
        <f>IF(AND('Mapa final'!$AB$26="Media",'Mapa final'!$AD$26="Mayor"),CONCATENATE("R8C",'Mapa final'!$R$26),"")</f>
        <v/>
      </c>
      <c r="U113" s="106" t="str">
        <f>IF(AND('Mapa final'!$AB$27="Media",'Mapa final'!$AD$27="Mayor"),CONCATENATE("R8C",'Mapa final'!$R$27),"")</f>
        <v/>
      </c>
      <c r="V113" s="43" t="str">
        <f>IF(AND('Mapa final'!$AB$25="Media",'Mapa final'!$AD$25="Catastrófico"),CONCATENATE("R8C",'Mapa final'!$R$25),"")</f>
        <v/>
      </c>
      <c r="W113" s="44" t="str">
        <f>IF(AND('Mapa final'!$AB$26="Media",'Mapa final'!$AD$26="Catastrófico"),CONCATENATE("R8C",'Mapa final'!$R$26),"")</f>
        <v/>
      </c>
      <c r="X113" s="100" t="str">
        <f>IF(AND('Mapa final'!$AB$27="Media",'Mapa final'!$AD$27="Catastrófico"),CONCATENATE("R8C",'Mapa final'!$R$27),"")</f>
        <v/>
      </c>
      <c r="Y113" s="56"/>
      <c r="Z113" s="311"/>
      <c r="AA113" s="312"/>
      <c r="AB113" s="312"/>
      <c r="AC113" s="312"/>
      <c r="AD113" s="312"/>
      <c r="AE113" s="313"/>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c r="BI113" s="56"/>
    </row>
    <row r="114" spans="1:61" ht="15" customHeight="1" x14ac:dyDescent="0.35">
      <c r="A114" s="56"/>
      <c r="B114" s="300"/>
      <c r="C114" s="300"/>
      <c r="D114" s="301"/>
      <c r="E114" s="289"/>
      <c r="F114" s="290"/>
      <c r="G114" s="290"/>
      <c r="H114" s="290"/>
      <c r="I114" s="288"/>
      <c r="J114" s="49" t="str">
        <f>IF(AND('Mapa final'!$AB$28="Media",'Mapa final'!$AD$28="Leve"),CONCATENATE("R9C",'Mapa final'!$R$28),"")</f>
        <v/>
      </c>
      <c r="K114" s="50" t="str">
        <f>IF(AND('Mapa final'!$AB$29="Media",'Mapa final'!$AD$29="Leve"),CONCATENATE("R9C",'Mapa final'!$R$29),"")</f>
        <v/>
      </c>
      <c r="L114" s="111" t="str">
        <f>IF(AND('Mapa final'!$AB$30="Media",'Mapa final'!$AD$30="Leve"),CONCATENATE("R9C",'Mapa final'!$R$30),"")</f>
        <v/>
      </c>
      <c r="M114" s="49" t="str">
        <f>IF(AND('Mapa final'!$AB$28="Media",'Mapa final'!$AD$28="Menor"),CONCATENATE("R9C",'Mapa final'!$R$28),"")</f>
        <v/>
      </c>
      <c r="N114" s="50" t="str">
        <f>IF(AND('Mapa final'!$AB$29="Media",'Mapa final'!$AD$29="Menor"),CONCATENATE("R9C",'Mapa final'!$R$29),"")</f>
        <v/>
      </c>
      <c r="O114" s="111" t="str">
        <f>IF(AND('Mapa final'!$AB$30="Media",'Mapa final'!$AD$30="Menor"),CONCATENATE("R9C",'Mapa final'!$R$30),"")</f>
        <v/>
      </c>
      <c r="P114" s="49" t="str">
        <f>IF(AND('Mapa final'!$AB$28="Media",'Mapa final'!$AD$28="Moderado"),CONCATENATE("R9C",'Mapa final'!$R$28),"")</f>
        <v/>
      </c>
      <c r="Q114" s="50" t="str">
        <f>IF(AND('Mapa final'!$AB$29="Media",'Mapa final'!$AD$29="Moderado"),CONCATENATE("R9C",'Mapa final'!$R$29),"")</f>
        <v/>
      </c>
      <c r="R114" s="111" t="str">
        <f>IF(AND('Mapa final'!$AB$30="Media",'Mapa final'!$AD$30="Moderado"),CONCATENATE("R9C",'Mapa final'!$R$30),"")</f>
        <v/>
      </c>
      <c r="S114" s="105" t="str">
        <f>IF(AND('Mapa final'!$AB$28="Media",'Mapa final'!$AD$28="Mayor"),CONCATENATE("R9C",'Mapa final'!$R$28),"")</f>
        <v>R9C1</v>
      </c>
      <c r="T114" s="42" t="str">
        <f>IF(AND('Mapa final'!$AB$29="Media",'Mapa final'!$AD$29="Mayor"),CONCATENATE("R9C",'Mapa final'!$R$29),"")</f>
        <v/>
      </c>
      <c r="U114" s="106" t="str">
        <f>IF(AND('Mapa final'!$AB$30="Media",'Mapa final'!$AD$30="Mayor"),CONCATENATE("R9C",'Mapa final'!$R$30),"")</f>
        <v/>
      </c>
      <c r="V114" s="43" t="str">
        <f>IF(AND('Mapa final'!$AB$28="Media",'Mapa final'!$AD$28="Catastrófico"),CONCATENATE("R9C",'Mapa final'!$R$28),"")</f>
        <v/>
      </c>
      <c r="W114" s="44" t="str">
        <f>IF(AND('Mapa final'!$AB$29="Media",'Mapa final'!$AD$29="Catastrófico"),CONCATENATE("R9C",'Mapa final'!$R$29),"")</f>
        <v/>
      </c>
      <c r="X114" s="100" t="str">
        <f>IF(AND('Mapa final'!$AB$30="Media",'Mapa final'!$AD$30="Catastrófico"),CONCATENATE("R9C",'Mapa final'!$R$30),"")</f>
        <v/>
      </c>
      <c r="Y114" s="56"/>
      <c r="Z114" s="311"/>
      <c r="AA114" s="312"/>
      <c r="AB114" s="312"/>
      <c r="AC114" s="312"/>
      <c r="AD114" s="312"/>
      <c r="AE114" s="313"/>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c r="BI114" s="56"/>
    </row>
    <row r="115" spans="1:61" ht="15" customHeight="1" x14ac:dyDescent="0.35">
      <c r="A115" s="56"/>
      <c r="B115" s="300"/>
      <c r="C115" s="300"/>
      <c r="D115" s="301"/>
      <c r="E115" s="289"/>
      <c r="F115" s="290"/>
      <c r="G115" s="290"/>
      <c r="H115" s="290"/>
      <c r="I115" s="288"/>
      <c r="J115" s="49" t="str">
        <f>IF(AND('Mapa final'!$AB$31="Media",'Mapa final'!$AD$31="Leve"),CONCATENATE("R10C",'Mapa final'!$R$31),"")</f>
        <v/>
      </c>
      <c r="K115" s="50" t="str">
        <f>IF(AND('Mapa final'!$AB$32="Media",'Mapa final'!$AD$32="Leve"),CONCATENATE("R10C",'Mapa final'!$R$32),"")</f>
        <v/>
      </c>
      <c r="L115" s="111" t="str">
        <f>IF(AND('Mapa final'!$AB$33="Media",'Mapa final'!$AD$33="Leve"),CONCATENATE("R10C",'Mapa final'!$R$33),"")</f>
        <v/>
      </c>
      <c r="M115" s="49" t="str">
        <f>IF(AND('Mapa final'!$AB$31="Media",'Mapa final'!$AD$31="Menor"),CONCATENATE("R10C",'Mapa final'!$R$31),"")</f>
        <v/>
      </c>
      <c r="N115" s="50" t="str">
        <f>IF(AND('Mapa final'!$AB$32="Media",'Mapa final'!$AD$32="Menor"),CONCATENATE("R10C",'Mapa final'!$R$32),"")</f>
        <v/>
      </c>
      <c r="O115" s="111" t="str">
        <f>IF(AND('Mapa final'!$AB$33="Media",'Mapa final'!$AD$33="Menor"),CONCATENATE("R10C",'Mapa final'!$R$33),"")</f>
        <v/>
      </c>
      <c r="P115" s="49" t="str">
        <f>IF(AND('Mapa final'!$AB$31="Media",'Mapa final'!$AD$31="Moderado"),CONCATENATE("R10C",'Mapa final'!$R$31),"")</f>
        <v>R10C1</v>
      </c>
      <c r="Q115" s="50" t="str">
        <f>IF(AND('Mapa final'!$AB$32="Media",'Mapa final'!$AD$32="Moderado"),CONCATENATE("R10C",'Mapa final'!$R$32),"")</f>
        <v/>
      </c>
      <c r="R115" s="111" t="str">
        <f>IF(AND('Mapa final'!$AB$33="Media",'Mapa final'!$AD$33="Moderado"),CONCATENATE("R10C",'Mapa final'!$R$33),"")</f>
        <v/>
      </c>
      <c r="S115" s="105" t="str">
        <f>IF(AND('Mapa final'!$AB$31="Media",'Mapa final'!$AD$31="Mayor"),CONCATENATE("R10C",'Mapa final'!$R$31),"")</f>
        <v/>
      </c>
      <c r="T115" s="42" t="str">
        <f>IF(AND('Mapa final'!$AB$32="Media",'Mapa final'!$AD$32="Mayor"),CONCATENATE("R10C",'Mapa final'!$R$32),"")</f>
        <v/>
      </c>
      <c r="U115" s="106" t="str">
        <f>IF(AND('Mapa final'!$AB$33="Media",'Mapa final'!$AD$33="Mayor"),CONCATENATE("R10C",'Mapa final'!$R$33),"")</f>
        <v/>
      </c>
      <c r="V115" s="43" t="str">
        <f>IF(AND('Mapa final'!$AB$31="Media",'Mapa final'!$AD$31="Catastrófico"),CONCATENATE("R10C",'Mapa final'!$R$31),"")</f>
        <v/>
      </c>
      <c r="W115" s="44" t="str">
        <f>IF(AND('Mapa final'!$AB$32="Media",'Mapa final'!$AD$32="Catastrófico"),CONCATENATE("R10C",'Mapa final'!$R$32),"")</f>
        <v/>
      </c>
      <c r="X115" s="100" t="str">
        <f>IF(AND('Mapa final'!$AB$33="Media",'Mapa final'!$AD$33="Catastrófico"),CONCATENATE("R10C",'Mapa final'!$R$33),"")</f>
        <v/>
      </c>
      <c r="Y115" s="56"/>
      <c r="Z115" s="311"/>
      <c r="AA115" s="312"/>
      <c r="AB115" s="312"/>
      <c r="AC115" s="312"/>
      <c r="AD115" s="312"/>
      <c r="AE115" s="313"/>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6"/>
    </row>
    <row r="116" spans="1:61" ht="15" customHeight="1" x14ac:dyDescent="0.35">
      <c r="A116" s="56"/>
      <c r="B116" s="300"/>
      <c r="C116" s="300"/>
      <c r="D116" s="301"/>
      <c r="E116" s="289"/>
      <c r="F116" s="290"/>
      <c r="G116" s="290"/>
      <c r="H116" s="290"/>
      <c r="I116" s="288"/>
      <c r="J116" s="49" t="str">
        <f>IF(AND('Mapa final'!$AB$34="Media",'Mapa final'!$AD$34="Leve"),CONCATENATE("R11C",'Mapa final'!$R$34),"")</f>
        <v/>
      </c>
      <c r="K116" s="50" t="str">
        <f>IF(AND('Mapa final'!$AB$35="Media",'Mapa final'!$AD$35="Leve"),CONCATENATE("R11C",'Mapa final'!$R$35),"")</f>
        <v/>
      </c>
      <c r="L116" s="111" t="str">
        <f>IF(AND('Mapa final'!$AB$36="Media",'Mapa final'!$AD$36="Leve"),CONCATENATE("R11C",'Mapa final'!$R$36),"")</f>
        <v/>
      </c>
      <c r="M116" s="49" t="str">
        <f>IF(AND('Mapa final'!$AB$34="Media",'Mapa final'!$AD$34="Menor"),CONCATENATE("R11C",'Mapa final'!$R$34),"")</f>
        <v/>
      </c>
      <c r="N116" s="50" t="str">
        <f>IF(AND('Mapa final'!$AB$35="Media",'Mapa final'!$AD$35="Menor"),CONCATENATE("R11C",'Mapa final'!$R$35),"")</f>
        <v/>
      </c>
      <c r="O116" s="111" t="str">
        <f>IF(AND('Mapa final'!$AB$36="Media",'Mapa final'!$AD$36="Menor"),CONCATENATE("R11C",'Mapa final'!$R$36),"")</f>
        <v/>
      </c>
      <c r="P116" s="49" t="str">
        <f>IF(AND('Mapa final'!$AB$34="Media",'Mapa final'!$AD$34="Moderado"),CONCATENATE("R11C",'Mapa final'!$R$34),"")</f>
        <v/>
      </c>
      <c r="Q116" s="50" t="str">
        <f>IF(AND('Mapa final'!$AB$35="Media",'Mapa final'!$AD$35="Moderado"),CONCATENATE("R11C",'Mapa final'!$R$35),"")</f>
        <v/>
      </c>
      <c r="R116" s="111" t="str">
        <f>IF(AND('Mapa final'!$AB$36="Media",'Mapa final'!$AD$36="Moderado"),CONCATENATE("R11C",'Mapa final'!$R$36),"")</f>
        <v/>
      </c>
      <c r="S116" s="105" t="str">
        <f>IF(AND('Mapa final'!$AB$34="Media",'Mapa final'!$AD$34="Mayor"),CONCATENATE("R11C",'Mapa final'!$R$34),"")</f>
        <v/>
      </c>
      <c r="T116" s="42" t="str">
        <f>IF(AND('Mapa final'!$AB$35="Media",'Mapa final'!$AD$35="Mayor"),CONCATENATE("R11C",'Mapa final'!$R$35),"")</f>
        <v/>
      </c>
      <c r="U116" s="106" t="str">
        <f>IF(AND('Mapa final'!$AB$36="Media",'Mapa final'!$AD$36="Mayor"),CONCATENATE("R11C",'Mapa final'!$R$36),"")</f>
        <v/>
      </c>
      <c r="V116" s="43" t="str">
        <f>IF(AND('Mapa final'!$AB$34="Media",'Mapa final'!$AD$34="Catastrófico"),CONCATENATE("R11C",'Mapa final'!$R$34),"")</f>
        <v/>
      </c>
      <c r="W116" s="44" t="str">
        <f>IF(AND('Mapa final'!$AB$35="Media",'Mapa final'!$AD$35="Catastrófico"),CONCATENATE("R11C",'Mapa final'!$R$35),"")</f>
        <v/>
      </c>
      <c r="X116" s="100" t="str">
        <f>IF(AND('Mapa final'!$AB$36="Media",'Mapa final'!$AD$36="Catastrófico"),CONCATENATE("R11C",'Mapa final'!$R$36),"")</f>
        <v/>
      </c>
      <c r="Y116" s="56"/>
      <c r="Z116" s="311"/>
      <c r="AA116" s="312"/>
      <c r="AB116" s="312"/>
      <c r="AC116" s="312"/>
      <c r="AD116" s="312"/>
      <c r="AE116" s="313"/>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row>
    <row r="117" spans="1:61" ht="15" customHeight="1" x14ac:dyDescent="0.35">
      <c r="A117" s="56"/>
      <c r="B117" s="300"/>
      <c r="C117" s="300"/>
      <c r="D117" s="301"/>
      <c r="E117" s="289"/>
      <c r="F117" s="290"/>
      <c r="G117" s="290"/>
      <c r="H117" s="290"/>
      <c r="I117" s="288"/>
      <c r="J117" s="49" t="str">
        <f>IF(AND('Mapa final'!$AB$37="Media",'Mapa final'!$AD$37="Leve"),CONCATENATE("R12C",'Mapa final'!$R$37),"")</f>
        <v/>
      </c>
      <c r="K117" s="50" t="str">
        <f>IF(AND('Mapa final'!$AB$38="Media",'Mapa final'!$AD$38="Leve"),CONCATENATE("R12C",'Mapa final'!$R$38),"")</f>
        <v/>
      </c>
      <c r="L117" s="111" t="str">
        <f>IF(AND('Mapa final'!$AB$39="Media",'Mapa final'!$AD$39="Leve"),CONCATENATE("R12C",'Mapa final'!$R$39),"")</f>
        <v/>
      </c>
      <c r="M117" s="49" t="str">
        <f>IF(AND('Mapa final'!$AB$37="Media",'Mapa final'!$AD$37="Menor"),CONCATENATE("R12C",'Mapa final'!$R$37),"")</f>
        <v/>
      </c>
      <c r="N117" s="50" t="str">
        <f>IF(AND('Mapa final'!$AB$38="Media",'Mapa final'!$AD$38="Menor"),CONCATENATE("R12C",'Mapa final'!$R$38),"")</f>
        <v/>
      </c>
      <c r="O117" s="111" t="str">
        <f>IF(AND('Mapa final'!$AB$39="Media",'Mapa final'!$AD$39="Menor"),CONCATENATE("R12C",'Mapa final'!$R$39),"")</f>
        <v/>
      </c>
      <c r="P117" s="49" t="str">
        <f>IF(AND('Mapa final'!$AB$37="Media",'Mapa final'!$AD$37="Moderado"),CONCATENATE("R12C",'Mapa final'!$R$37),"")</f>
        <v/>
      </c>
      <c r="Q117" s="50" t="str">
        <f>IF(AND('Mapa final'!$AB$38="Media",'Mapa final'!$AD$38="Moderado"),CONCATENATE("R12C",'Mapa final'!$R$38),"")</f>
        <v/>
      </c>
      <c r="R117" s="111" t="str">
        <f>IF(AND('Mapa final'!$AB$39="Media",'Mapa final'!$AD$39="Moderado"),CONCATENATE("R12C",'Mapa final'!$R$39),"")</f>
        <v/>
      </c>
      <c r="S117" s="105" t="str">
        <f>IF(AND('Mapa final'!$AB$37="Media",'Mapa final'!$AD$37="Mayor"),CONCATENATE("R12C",'Mapa final'!$R$37),"")</f>
        <v/>
      </c>
      <c r="T117" s="42" t="str">
        <f>IF(AND('Mapa final'!$AB$38="Media",'Mapa final'!$AD$38="Mayor"),CONCATENATE("R12C",'Mapa final'!$R$38),"")</f>
        <v/>
      </c>
      <c r="U117" s="106" t="str">
        <f>IF(AND('Mapa final'!$AB$39="Media",'Mapa final'!$AD$39="Mayor"),CONCATENATE("R12C",'Mapa final'!$R$39),"")</f>
        <v/>
      </c>
      <c r="V117" s="43" t="str">
        <f>IF(AND('Mapa final'!$AB$37="Media",'Mapa final'!$AD$37="Catastrófico"),CONCATENATE("R12C",'Mapa final'!$R$37),"")</f>
        <v/>
      </c>
      <c r="W117" s="44" t="str">
        <f>IF(AND('Mapa final'!$AB$38="Media",'Mapa final'!$AD$38="Catastrófico"),CONCATENATE("R12C",'Mapa final'!$R$38),"")</f>
        <v/>
      </c>
      <c r="X117" s="100" t="str">
        <f>IF(AND('Mapa final'!$AB$39="Media",'Mapa final'!$AD$39="Catastrófico"),CONCATENATE("R12C",'Mapa final'!$R$39),"")</f>
        <v/>
      </c>
      <c r="Y117" s="56"/>
      <c r="Z117" s="311"/>
      <c r="AA117" s="312"/>
      <c r="AB117" s="312"/>
      <c r="AC117" s="312"/>
      <c r="AD117" s="312"/>
      <c r="AE117" s="313"/>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row>
    <row r="118" spans="1:61" ht="15" customHeight="1" x14ac:dyDescent="0.35">
      <c r="A118" s="56"/>
      <c r="B118" s="300"/>
      <c r="C118" s="300"/>
      <c r="D118" s="301"/>
      <c r="E118" s="289"/>
      <c r="F118" s="290"/>
      <c r="G118" s="290"/>
      <c r="H118" s="290"/>
      <c r="I118" s="288"/>
      <c r="J118" s="49" t="str">
        <f>IF(AND('Mapa final'!$AB$40="Media",'Mapa final'!$AD$40="Leve"),CONCATENATE("R13C",'Mapa final'!$R$40),"")</f>
        <v/>
      </c>
      <c r="K118" s="50" t="str">
        <f>IF(AND('Mapa final'!$AB$41="Media",'Mapa final'!$AD$41="Leve"),CONCATENATE("R13C",'Mapa final'!$R$41),"")</f>
        <v/>
      </c>
      <c r="L118" s="111" t="str">
        <f>IF(AND('Mapa final'!$AB$42="Media",'Mapa final'!$AD$42="Leve"),CONCATENATE("R13C",'Mapa final'!$R$42),"")</f>
        <v/>
      </c>
      <c r="M118" s="49" t="str">
        <f>IF(AND('Mapa final'!$AB$40="Media",'Mapa final'!$AD$40="Menor"),CONCATENATE("R13C",'Mapa final'!$R$40),"")</f>
        <v/>
      </c>
      <c r="N118" s="50" t="str">
        <f>IF(AND('Mapa final'!$AB$41="Media",'Mapa final'!$AD$41="Menor"),CONCATENATE("R13C",'Mapa final'!$R$41),"")</f>
        <v/>
      </c>
      <c r="O118" s="111" t="str">
        <f>IF(AND('Mapa final'!$AB$42="Media",'Mapa final'!$AD$42="Menor"),CONCATENATE("R13C",'Mapa final'!$R$42),"")</f>
        <v/>
      </c>
      <c r="P118" s="49" t="str">
        <f>IF(AND('Mapa final'!$AB$40="Media",'Mapa final'!$AD$40="Moderado"),CONCATENATE("R13C",'Mapa final'!$R$40),"")</f>
        <v/>
      </c>
      <c r="Q118" s="50" t="str">
        <f>IF(AND('Mapa final'!$AB$41="Media",'Mapa final'!$AD$41="Moderado"),CONCATENATE("R13C",'Mapa final'!$R$41),"")</f>
        <v/>
      </c>
      <c r="R118" s="111" t="str">
        <f>IF(AND('Mapa final'!$AB$42="Media",'Mapa final'!$AD$42="Moderado"),CONCATENATE("R13C",'Mapa final'!$R$42),"")</f>
        <v/>
      </c>
      <c r="S118" s="105" t="str">
        <f>IF(AND('Mapa final'!$AB$40="Media",'Mapa final'!$AD$40="Mayor"),CONCATENATE("R13C",'Mapa final'!$R$40),"")</f>
        <v/>
      </c>
      <c r="T118" s="42" t="str">
        <f>IF(AND('Mapa final'!$AB$41="Media",'Mapa final'!$AD$41="Mayor"),CONCATENATE("R13C",'Mapa final'!$R$41),"")</f>
        <v/>
      </c>
      <c r="U118" s="106" t="str">
        <f>IF(AND('Mapa final'!$AB$42="Media",'Mapa final'!$AD$42="Mayor"),CONCATENATE("R13C",'Mapa final'!$R$42),"")</f>
        <v/>
      </c>
      <c r="V118" s="43" t="str">
        <f>IF(AND('Mapa final'!$AB$40="Media",'Mapa final'!$AD$40="Catastrófico"),CONCATENATE("R13C",'Mapa final'!$R$40),"")</f>
        <v/>
      </c>
      <c r="W118" s="44" t="str">
        <f>IF(AND('Mapa final'!$AB$41="Media",'Mapa final'!$AD$41="Catastrófico"),CONCATENATE("R13C",'Mapa final'!$R$41),"")</f>
        <v/>
      </c>
      <c r="X118" s="100" t="str">
        <f>IF(AND('Mapa final'!$AB$42="Media",'Mapa final'!$AD$42="Catastrófico"),CONCATENATE("R13C",'Mapa final'!$R$42),"")</f>
        <v/>
      </c>
      <c r="Y118" s="56"/>
      <c r="Z118" s="311"/>
      <c r="AA118" s="312"/>
      <c r="AB118" s="312"/>
      <c r="AC118" s="312"/>
      <c r="AD118" s="312"/>
      <c r="AE118" s="313"/>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c r="BI118" s="56"/>
    </row>
    <row r="119" spans="1:61" ht="15" customHeight="1" x14ac:dyDescent="0.35">
      <c r="A119" s="56"/>
      <c r="B119" s="300"/>
      <c r="C119" s="300"/>
      <c r="D119" s="301"/>
      <c r="E119" s="289"/>
      <c r="F119" s="290"/>
      <c r="G119" s="290"/>
      <c r="H119" s="290"/>
      <c r="I119" s="288"/>
      <c r="J119" s="49" t="str">
        <f>IF(AND('Mapa final'!$AB$43="Media",'Mapa final'!$AD$43="Leve"),CONCATENATE("R14C",'Mapa final'!$R$43),"")</f>
        <v/>
      </c>
      <c r="K119" s="50" t="str">
        <f>IF(AND('Mapa final'!$AB$44="Media",'Mapa final'!$AD$44="Leve"),CONCATENATE("R14C",'Mapa final'!$R$44),"")</f>
        <v/>
      </c>
      <c r="L119" s="111" t="str">
        <f>IF(AND('Mapa final'!$AB$45="Media",'Mapa final'!$AD$45="Leve"),CONCATENATE("R14C",'Mapa final'!$R$45),"")</f>
        <v/>
      </c>
      <c r="M119" s="49" t="str">
        <f>IF(AND('Mapa final'!$AB$43="Media",'Mapa final'!$AD$43="Menor"),CONCATENATE("R14C",'Mapa final'!$R$43),"")</f>
        <v/>
      </c>
      <c r="N119" s="50" t="str">
        <f>IF(AND('Mapa final'!$AB$44="Media",'Mapa final'!$AD$44="Menor"),CONCATENATE("R14C",'Mapa final'!$R$44),"")</f>
        <v/>
      </c>
      <c r="O119" s="111" t="str">
        <f>IF(AND('Mapa final'!$AB$45="Media",'Mapa final'!$AD$45="Menor"),CONCATENATE("R14C",'Mapa final'!$R$45),"")</f>
        <v/>
      </c>
      <c r="P119" s="49" t="str">
        <f>IF(AND('Mapa final'!$AB$43="Media",'Mapa final'!$AD$43="Moderado"),CONCATENATE("R14C",'Mapa final'!$R$43),"")</f>
        <v/>
      </c>
      <c r="Q119" s="50" t="str">
        <f>IF(AND('Mapa final'!$AB$44="Media",'Mapa final'!$AD$44="Moderado"),CONCATENATE("R14C",'Mapa final'!$R$44),"")</f>
        <v/>
      </c>
      <c r="R119" s="111" t="str">
        <f>IF(AND('Mapa final'!$AB$45="Media",'Mapa final'!$AD$45="Moderado"),CONCATENATE("R14C",'Mapa final'!$R$45),"")</f>
        <v/>
      </c>
      <c r="S119" s="105" t="str">
        <f>IF(AND('Mapa final'!$AB$43="Media",'Mapa final'!$AD$43="Mayor"),CONCATENATE("R14C",'Mapa final'!$R$43),"")</f>
        <v/>
      </c>
      <c r="T119" s="42" t="str">
        <f>IF(AND('Mapa final'!$AB$44="Media",'Mapa final'!$AD$44="Mayor"),CONCATENATE("R14C",'Mapa final'!$R$44),"")</f>
        <v/>
      </c>
      <c r="U119" s="106" t="str">
        <f>IF(AND('Mapa final'!$AB$45="Media",'Mapa final'!$AD$45="Mayor"),CONCATENATE("R14C",'Mapa final'!$R$45),"")</f>
        <v/>
      </c>
      <c r="V119" s="43" t="str">
        <f>IF(AND('Mapa final'!$AB$43="Media",'Mapa final'!$AD$43="Catastrófico"),CONCATENATE("R14C",'Mapa final'!$R$43),"")</f>
        <v/>
      </c>
      <c r="W119" s="44" t="str">
        <f>IF(AND('Mapa final'!$AB$44="Media",'Mapa final'!$AD$44="Catastrófico"),CONCATENATE("R14C",'Mapa final'!$R$44),"")</f>
        <v/>
      </c>
      <c r="X119" s="100" t="str">
        <f>IF(AND('Mapa final'!$AB$45="Media",'Mapa final'!$AD$45="Catastrófico"),CONCATENATE("R14C",'Mapa final'!$R$45),"")</f>
        <v/>
      </c>
      <c r="Y119" s="56"/>
      <c r="Z119" s="311"/>
      <c r="AA119" s="312"/>
      <c r="AB119" s="312"/>
      <c r="AC119" s="312"/>
      <c r="AD119" s="312"/>
      <c r="AE119" s="313"/>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c r="BI119" s="56"/>
    </row>
    <row r="120" spans="1:61" ht="15" customHeight="1" x14ac:dyDescent="0.35">
      <c r="A120" s="56"/>
      <c r="B120" s="300"/>
      <c r="C120" s="300"/>
      <c r="D120" s="301"/>
      <c r="E120" s="289"/>
      <c r="F120" s="290"/>
      <c r="G120" s="290"/>
      <c r="H120" s="290"/>
      <c r="I120" s="288"/>
      <c r="J120" s="49" t="str">
        <f>IF(AND('Mapa final'!$AB$46="Media",'Mapa final'!$AD$46="Leve"),CONCATENATE("R15C",'Mapa final'!$R$46),"")</f>
        <v/>
      </c>
      <c r="K120" s="50" t="str">
        <f>IF(AND('Mapa final'!$AB$47="Media",'Mapa final'!$AD$47="Leve"),CONCATENATE("R15C",'Mapa final'!$R$47),"")</f>
        <v/>
      </c>
      <c r="L120" s="111" t="str">
        <f>IF(AND('Mapa final'!$AB$48="Media",'Mapa final'!$AD$48="Leve"),CONCATENATE("R15C",'Mapa final'!$R$48),"")</f>
        <v/>
      </c>
      <c r="M120" s="49" t="str">
        <f>IF(AND('Mapa final'!$AB$46="Media",'Mapa final'!$AD$46="Menor"),CONCATENATE("R15C",'Mapa final'!$R$46),"")</f>
        <v/>
      </c>
      <c r="N120" s="50" t="str">
        <f>IF(AND('Mapa final'!$AB$47="Media",'Mapa final'!$AD$47="Menor"),CONCATENATE("R15C",'Mapa final'!$R$47),"")</f>
        <v/>
      </c>
      <c r="O120" s="111" t="str">
        <f>IF(AND('Mapa final'!$AB$48="Media",'Mapa final'!$AD$48="Menor"),CONCATENATE("R15C",'Mapa final'!$R$48),"")</f>
        <v/>
      </c>
      <c r="P120" s="49" t="str">
        <f>IF(AND('Mapa final'!$AB$46="Media",'Mapa final'!$AD$46="Moderado"),CONCATENATE("R15C",'Mapa final'!$R$46),"")</f>
        <v>R15C1</v>
      </c>
      <c r="Q120" s="50" t="str">
        <f>IF(AND('Mapa final'!$AB$47="Media",'Mapa final'!$AD$47="Moderado"),CONCATENATE("R15C",'Mapa final'!$R$47),"")</f>
        <v/>
      </c>
      <c r="R120" s="111" t="str">
        <f>IF(AND('Mapa final'!$AB$48="Media",'Mapa final'!$AD$48="Moderado"),CONCATENATE("R15C",'Mapa final'!$R$48),"")</f>
        <v/>
      </c>
      <c r="S120" s="105" t="str">
        <f>IF(AND('Mapa final'!$AB$46="Media",'Mapa final'!$AD$46="Mayor"),CONCATENATE("R15C",'Mapa final'!$R$46),"")</f>
        <v/>
      </c>
      <c r="T120" s="42" t="str">
        <f>IF(AND('Mapa final'!$AB$47="Media",'Mapa final'!$AD$47="Mayor"),CONCATENATE("R15C",'Mapa final'!$R$47),"")</f>
        <v/>
      </c>
      <c r="U120" s="106" t="str">
        <f>IF(AND('Mapa final'!$AB$48="Media",'Mapa final'!$AD$48="Mayor"),CONCATENATE("R15C",'Mapa final'!$R$48),"")</f>
        <v/>
      </c>
      <c r="V120" s="43" t="str">
        <f>IF(AND('Mapa final'!$AB$46="Media",'Mapa final'!$AD$46="Catastrófico"),CONCATENATE("R15C",'Mapa final'!$R$46),"")</f>
        <v/>
      </c>
      <c r="W120" s="44" t="str">
        <f>IF(AND('Mapa final'!$AB$47="Media",'Mapa final'!$AD$47="Catastrófico"),CONCATENATE("R15C",'Mapa final'!$R$47),"")</f>
        <v/>
      </c>
      <c r="X120" s="100" t="str">
        <f>IF(AND('Mapa final'!$AB$48="Media",'Mapa final'!$AD$48="Catastrófico"),CONCATENATE("R15C",'Mapa final'!$R$48),"")</f>
        <v/>
      </c>
      <c r="Y120" s="56"/>
      <c r="Z120" s="311"/>
      <c r="AA120" s="312"/>
      <c r="AB120" s="312"/>
      <c r="AC120" s="312"/>
      <c r="AD120" s="312"/>
      <c r="AE120" s="313"/>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row>
    <row r="121" spans="1:61" ht="15" customHeight="1" x14ac:dyDescent="0.35">
      <c r="A121" s="56"/>
      <c r="B121" s="300"/>
      <c r="C121" s="300"/>
      <c r="D121" s="301"/>
      <c r="E121" s="289"/>
      <c r="F121" s="290"/>
      <c r="G121" s="290"/>
      <c r="H121" s="290"/>
      <c r="I121" s="288"/>
      <c r="J121" s="49" t="str">
        <f>IF(AND('Mapa final'!$AB$49="Media",'Mapa final'!$AD$49="Leve"),CONCATENATE("R16C",'Mapa final'!$R$49),"")</f>
        <v/>
      </c>
      <c r="K121" s="50" t="str">
        <f>IF(AND('Mapa final'!$AB$50="Media",'Mapa final'!$AD$50="Leve"),CONCATENATE("R16C",'Mapa final'!$R$50),"")</f>
        <v/>
      </c>
      <c r="L121" s="111" t="str">
        <f>IF(AND('Mapa final'!$AB$51="Media",'Mapa final'!$AD$51="Leve"),CONCATENATE("R16C",'Mapa final'!$R$51),"")</f>
        <v/>
      </c>
      <c r="M121" s="49" t="str">
        <f>IF(AND('Mapa final'!$AB$49="Media",'Mapa final'!$AD$49="Menor"),CONCATENATE("R16C",'Mapa final'!$R$49),"")</f>
        <v/>
      </c>
      <c r="N121" s="50" t="str">
        <f>IF(AND('Mapa final'!$AB$50="Media",'Mapa final'!$AD$50="Menor"),CONCATENATE("R16C",'Mapa final'!$R$50),"")</f>
        <v/>
      </c>
      <c r="O121" s="111" t="str">
        <f>IF(AND('Mapa final'!$AB$51="Media",'Mapa final'!$AD$51="Menor"),CONCATENATE("R16C",'Mapa final'!$R$51),"")</f>
        <v/>
      </c>
      <c r="P121" s="49" t="str">
        <f>IF(AND('Mapa final'!$AB$49="Media",'Mapa final'!$AD$49="Moderado"),CONCATENATE("R16C",'Mapa final'!$R$49),"")</f>
        <v/>
      </c>
      <c r="Q121" s="50" t="str">
        <f>IF(AND('Mapa final'!$AB$50="Media",'Mapa final'!$AD$50="Moderado"),CONCATENATE("R16C",'Mapa final'!$R$50),"")</f>
        <v/>
      </c>
      <c r="R121" s="111" t="str">
        <f>IF(AND('Mapa final'!$AB$51="Media",'Mapa final'!$AD$51="Moderado"),CONCATENATE("R16C",'Mapa final'!$R$51),"")</f>
        <v/>
      </c>
      <c r="S121" s="105" t="str">
        <f>IF(AND('Mapa final'!$AB$49="Media",'Mapa final'!$AD$49="Mayor"),CONCATENATE("R16C",'Mapa final'!$R$49),"")</f>
        <v/>
      </c>
      <c r="T121" s="42" t="str">
        <f>IF(AND('Mapa final'!$AB$50="Media",'Mapa final'!$AD$50="Mayor"),CONCATENATE("R16C",'Mapa final'!$R$50),"")</f>
        <v/>
      </c>
      <c r="U121" s="106" t="str">
        <f>IF(AND('Mapa final'!$AB$51="Media",'Mapa final'!$AD$51="Mayor"),CONCATENATE("R16C",'Mapa final'!$R$51),"")</f>
        <v/>
      </c>
      <c r="V121" s="43" t="str">
        <f>IF(AND('Mapa final'!$AB$49="Media",'Mapa final'!$AD$49="Catastrófico"),CONCATENATE("R16C",'Mapa final'!$R$49),"")</f>
        <v/>
      </c>
      <c r="W121" s="44" t="str">
        <f>IF(AND('Mapa final'!$AB$50="Media",'Mapa final'!$AD$50="Catastrófico"),CONCATENATE("R16C",'Mapa final'!$R$50),"")</f>
        <v/>
      </c>
      <c r="X121" s="100" t="str">
        <f>IF(AND('Mapa final'!$AB$51="Media",'Mapa final'!$AD$51="Catastrófico"),CONCATENATE("R16C",'Mapa final'!$R$51),"")</f>
        <v/>
      </c>
      <c r="Y121" s="56"/>
      <c r="Z121" s="311"/>
      <c r="AA121" s="312"/>
      <c r="AB121" s="312"/>
      <c r="AC121" s="312"/>
      <c r="AD121" s="312"/>
      <c r="AE121" s="313"/>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row>
    <row r="122" spans="1:61" ht="15" customHeight="1" x14ac:dyDescent="0.35">
      <c r="A122" s="56"/>
      <c r="B122" s="300"/>
      <c r="C122" s="300"/>
      <c r="D122" s="301"/>
      <c r="E122" s="289"/>
      <c r="F122" s="290"/>
      <c r="G122" s="290"/>
      <c r="H122" s="290"/>
      <c r="I122" s="288"/>
      <c r="J122" s="49" t="str">
        <f>IF(AND('Mapa final'!$AB$52="Media",'Mapa final'!$AD$52="Leve"),CONCATENATE("R17C",'Mapa final'!$R$52),"")</f>
        <v/>
      </c>
      <c r="K122" s="50" t="str">
        <f>IF(AND('Mapa final'!$AB$53="Media",'Mapa final'!$AD$53="Leve"),CONCATENATE("R17C",'Mapa final'!$R$53),"")</f>
        <v/>
      </c>
      <c r="L122" s="111" t="str">
        <f>IF(AND('Mapa final'!$AB$54="Media",'Mapa final'!$AD$54="Leve"),CONCATENATE("R17C",'Mapa final'!$R$54),"")</f>
        <v/>
      </c>
      <c r="M122" s="49" t="str">
        <f>IF(AND('Mapa final'!$AB$52="Media",'Mapa final'!$AD$52="Menor"),CONCATENATE("R17C",'Mapa final'!$R$52),"")</f>
        <v/>
      </c>
      <c r="N122" s="50" t="str">
        <f>IF(AND('Mapa final'!$AB$53="Media",'Mapa final'!$AD$53="Menor"),CONCATENATE("R17C",'Mapa final'!$R$53),"")</f>
        <v/>
      </c>
      <c r="O122" s="111" t="str">
        <f>IF(AND('Mapa final'!$AB$54="Media",'Mapa final'!$AD$54="Menor"),CONCATENATE("R17C",'Mapa final'!$R$54),"")</f>
        <v/>
      </c>
      <c r="P122" s="49" t="str">
        <f>IF(AND('Mapa final'!$AB$52="Media",'Mapa final'!$AD$52="Moderado"),CONCATENATE("R17C",'Mapa final'!$R$52),"")</f>
        <v/>
      </c>
      <c r="Q122" s="50" t="str">
        <f>IF(AND('Mapa final'!$AB$53="Media",'Mapa final'!$AD$53="Moderado"),CONCATENATE("R17C",'Mapa final'!$R$53),"")</f>
        <v/>
      </c>
      <c r="R122" s="111" t="str">
        <f>IF(AND('Mapa final'!$AB$54="Media",'Mapa final'!$AD$54="Moderado"),CONCATENATE("R17C",'Mapa final'!$R$54),"")</f>
        <v/>
      </c>
      <c r="S122" s="105" t="str">
        <f>IF(AND('Mapa final'!$AB$52="Media",'Mapa final'!$AD$52="Mayor"),CONCATENATE("R17C",'Mapa final'!$R$52),"")</f>
        <v>R17C1</v>
      </c>
      <c r="T122" s="42" t="str">
        <f>IF(AND('Mapa final'!$AB$53="Media",'Mapa final'!$AD$53="Mayor"),CONCATENATE("R17C",'Mapa final'!$R$53),"")</f>
        <v/>
      </c>
      <c r="U122" s="106" t="str">
        <f>IF(AND('Mapa final'!$AB$54="Media",'Mapa final'!$AD$54="Mayor"),CONCATENATE("R17C",'Mapa final'!$R$54),"")</f>
        <v/>
      </c>
      <c r="V122" s="43" t="str">
        <f>IF(AND('Mapa final'!$AB$52="Media",'Mapa final'!$AD$52="Catastrófico"),CONCATENATE("R17C",'Mapa final'!$R$52),"")</f>
        <v/>
      </c>
      <c r="W122" s="44" t="str">
        <f>IF(AND('Mapa final'!$AB$53="Media",'Mapa final'!$AD$53="Catastrófico"),CONCATENATE("R17C",'Mapa final'!$R$53),"")</f>
        <v/>
      </c>
      <c r="X122" s="100" t="str">
        <f>IF(AND('Mapa final'!$AB$54="Media",'Mapa final'!$AD$54="Catastrófico"),CONCATENATE("R17C",'Mapa final'!$R$54),"")</f>
        <v/>
      </c>
      <c r="Y122" s="56"/>
      <c r="Z122" s="311"/>
      <c r="AA122" s="312"/>
      <c r="AB122" s="312"/>
      <c r="AC122" s="312"/>
      <c r="AD122" s="312"/>
      <c r="AE122" s="313"/>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row>
    <row r="123" spans="1:61" ht="15" customHeight="1" x14ac:dyDescent="0.35">
      <c r="A123" s="56"/>
      <c r="B123" s="300"/>
      <c r="C123" s="300"/>
      <c r="D123" s="301"/>
      <c r="E123" s="289"/>
      <c r="F123" s="290"/>
      <c r="G123" s="290"/>
      <c r="H123" s="290"/>
      <c r="I123" s="288"/>
      <c r="J123" s="49" t="str">
        <f>IF(AND('Mapa final'!$AB$55="Media",'Mapa final'!$AD$55="Leve"),CONCATENATE("R18C",'Mapa final'!$R$55),"")</f>
        <v/>
      </c>
      <c r="K123" s="50" t="str">
        <f>IF(AND('Mapa final'!$AB$56="Media",'Mapa final'!$AD$56="Leve"),CONCATENATE("R18C",'Mapa final'!$R$56),"")</f>
        <v/>
      </c>
      <c r="L123" s="111" t="str">
        <f>IF(AND('Mapa final'!$AB$57="Media",'Mapa final'!$AD$57="Leve"),CONCATENATE("R18C",'Mapa final'!$R$57),"")</f>
        <v/>
      </c>
      <c r="M123" s="49" t="str">
        <f>IF(AND('Mapa final'!$AB$55="Media",'Mapa final'!$AD$55="Menor"),CONCATENATE("R18C",'Mapa final'!$R$55),"")</f>
        <v/>
      </c>
      <c r="N123" s="50" t="str">
        <f>IF(AND('Mapa final'!$AB$56="Media",'Mapa final'!$AD$56="Menor"),CONCATENATE("R18C",'Mapa final'!$R$56),"")</f>
        <v/>
      </c>
      <c r="O123" s="111" t="str">
        <f>IF(AND('Mapa final'!$AB$57="Media",'Mapa final'!$AD$57="Menor"),CONCATENATE("R18C",'Mapa final'!$R$57),"")</f>
        <v/>
      </c>
      <c r="P123" s="49" t="str">
        <f>IF(AND('Mapa final'!$AB$55="Media",'Mapa final'!$AD$55="Moderado"),CONCATENATE("R18C",'Mapa final'!$R$55),"")</f>
        <v>R18C1</v>
      </c>
      <c r="Q123" s="50" t="str">
        <f>IF(AND('Mapa final'!$AB$56="Media",'Mapa final'!$AD$56="Moderado"),CONCATENATE("R18C",'Mapa final'!$R$56),"")</f>
        <v/>
      </c>
      <c r="R123" s="111" t="str">
        <f>IF(AND('Mapa final'!$AB$57="Media",'Mapa final'!$AD$57="Moderado"),CONCATENATE("R18C",'Mapa final'!$R$57),"")</f>
        <v/>
      </c>
      <c r="S123" s="105" t="str">
        <f>IF(AND('Mapa final'!$AB$55="Media",'Mapa final'!$AD$55="Mayor"),CONCATENATE("R18C",'Mapa final'!$R$55),"")</f>
        <v/>
      </c>
      <c r="T123" s="42" t="str">
        <f>IF(AND('Mapa final'!$AB$56="Media",'Mapa final'!$AD$56="Mayor"),CONCATENATE("R18C",'Mapa final'!$R$56),"")</f>
        <v/>
      </c>
      <c r="U123" s="106" t="str">
        <f>IF(AND('Mapa final'!$AB$57="Media",'Mapa final'!$AD$57="Mayor"),CONCATENATE("R18C",'Mapa final'!$R$57),"")</f>
        <v/>
      </c>
      <c r="V123" s="43" t="str">
        <f>IF(AND('Mapa final'!$AB$55="Media",'Mapa final'!$AD$55="Catastrófico"),CONCATENATE("R18C",'Mapa final'!$R$55),"")</f>
        <v/>
      </c>
      <c r="W123" s="44" t="str">
        <f>IF(AND('Mapa final'!$AB$56="Media",'Mapa final'!$AD$56="Catastrófico"),CONCATENATE("R18C",'Mapa final'!$R$56),"")</f>
        <v/>
      </c>
      <c r="X123" s="100" t="str">
        <f>IF(AND('Mapa final'!$AB$57="Media",'Mapa final'!$AD$57="Catastrófico"),CONCATENATE("R18C",'Mapa final'!$R$57),"")</f>
        <v/>
      </c>
      <c r="Y123" s="56"/>
      <c r="Z123" s="311"/>
      <c r="AA123" s="312"/>
      <c r="AB123" s="312"/>
      <c r="AC123" s="312"/>
      <c r="AD123" s="312"/>
      <c r="AE123" s="313"/>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row>
    <row r="124" spans="1:61" ht="15" customHeight="1" x14ac:dyDescent="0.35">
      <c r="A124" s="56"/>
      <c r="B124" s="300"/>
      <c r="C124" s="300"/>
      <c r="D124" s="301"/>
      <c r="E124" s="289"/>
      <c r="F124" s="290"/>
      <c r="G124" s="290"/>
      <c r="H124" s="290"/>
      <c r="I124" s="288"/>
      <c r="J124" s="49" t="str">
        <f>IF(AND('Mapa final'!$AB$58="Media",'Mapa final'!$AD$58="Leve"),CONCATENATE("R19C",'Mapa final'!$R$58),"")</f>
        <v/>
      </c>
      <c r="K124" s="50" t="str">
        <f>IF(AND('Mapa final'!$AB$59="Media",'Mapa final'!$AD$59="Leve"),CONCATENATE("R19C",'Mapa final'!$R$59),"")</f>
        <v/>
      </c>
      <c r="L124" s="111" t="str">
        <f>IF(AND('Mapa final'!$AB$60="Media",'Mapa final'!$AD$60="Leve"),CONCATENATE("R19C",'Mapa final'!$R$60),"")</f>
        <v/>
      </c>
      <c r="M124" s="49" t="str">
        <f>IF(AND('Mapa final'!$AB$58="Media",'Mapa final'!$AD$58="Menor"),CONCATENATE("R19C",'Mapa final'!$R$58),"")</f>
        <v/>
      </c>
      <c r="N124" s="50" t="str">
        <f>IF(AND('Mapa final'!$AB$59="Media",'Mapa final'!$AD$59="Menor"),CONCATENATE("R19C",'Mapa final'!$R$59),"")</f>
        <v/>
      </c>
      <c r="O124" s="111" t="str">
        <f>IF(AND('Mapa final'!$AB$60="Media",'Mapa final'!$AD$60="Menor"),CONCATENATE("R19C",'Mapa final'!$R$60),"")</f>
        <v/>
      </c>
      <c r="P124" s="49" t="str">
        <f>IF(AND('Mapa final'!$AB$58="Media",'Mapa final'!$AD$58="Moderado"),CONCATENATE("R19C",'Mapa final'!$R$58),"")</f>
        <v>R19C1</v>
      </c>
      <c r="Q124" s="50" t="str">
        <f>IF(AND('Mapa final'!$AB$59="Media",'Mapa final'!$AD$59="Moderado"),CONCATENATE("R19C",'Mapa final'!$R$59),"")</f>
        <v/>
      </c>
      <c r="R124" s="111" t="str">
        <f>IF(AND('Mapa final'!$AB$60="Media",'Mapa final'!$AD$60="Moderado"),CONCATENATE("R19C",'Mapa final'!$R$60),"")</f>
        <v/>
      </c>
      <c r="S124" s="105" t="str">
        <f>IF(AND('Mapa final'!$AB$58="Media",'Mapa final'!$AD$58="Mayor"),CONCATENATE("R19C",'Mapa final'!$R$58),"")</f>
        <v/>
      </c>
      <c r="T124" s="42" t="str">
        <f>IF(AND('Mapa final'!$AB$59="Media",'Mapa final'!$AD$59="Mayor"),CONCATENATE("R19C",'Mapa final'!$R$59),"")</f>
        <v/>
      </c>
      <c r="U124" s="106" t="str">
        <f>IF(AND('Mapa final'!$AB$60="Media",'Mapa final'!$AD$60="Mayor"),CONCATENATE("R19C",'Mapa final'!$R$60),"")</f>
        <v/>
      </c>
      <c r="V124" s="43" t="str">
        <f>IF(AND('Mapa final'!$AB$58="Media",'Mapa final'!$AD$58="Catastrófico"),CONCATENATE("R19C",'Mapa final'!$R$58),"")</f>
        <v/>
      </c>
      <c r="W124" s="44" t="str">
        <f>IF(AND('Mapa final'!$AB$59="Media",'Mapa final'!$AD$59="Catastrófico"),CONCATENATE("R19C",'Mapa final'!$R$59),"")</f>
        <v/>
      </c>
      <c r="X124" s="100" t="str">
        <f>IF(AND('Mapa final'!$AB$60="Media",'Mapa final'!$AD$60="Catastrófico"),CONCATENATE("R19C",'Mapa final'!$R$60),"")</f>
        <v/>
      </c>
      <c r="Y124" s="56"/>
      <c r="Z124" s="311"/>
      <c r="AA124" s="312"/>
      <c r="AB124" s="312"/>
      <c r="AC124" s="312"/>
      <c r="AD124" s="312"/>
      <c r="AE124" s="313"/>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row>
    <row r="125" spans="1:61" ht="15" customHeight="1" x14ac:dyDescent="0.35">
      <c r="A125" s="56"/>
      <c r="B125" s="300"/>
      <c r="C125" s="300"/>
      <c r="D125" s="301"/>
      <c r="E125" s="289"/>
      <c r="F125" s="290"/>
      <c r="G125" s="290"/>
      <c r="H125" s="290"/>
      <c r="I125" s="288"/>
      <c r="J125" s="49" t="str">
        <f>IF(AND('Mapa final'!$AB$61="Media",'Mapa final'!$AD$61="Leve"),CONCATENATE("R20C",'Mapa final'!$R$61),"")</f>
        <v/>
      </c>
      <c r="K125" s="50" t="str">
        <f>IF(AND('Mapa final'!$AB$62="Media",'Mapa final'!$AD$62="Leve"),CONCATENATE("R20C",'Mapa final'!$R$62),"")</f>
        <v/>
      </c>
      <c r="L125" s="111" t="str">
        <f>IF(AND('Mapa final'!$AB$63="Media",'Mapa final'!$AD$63="Leve"),CONCATENATE("R20C",'Mapa final'!$R$63),"")</f>
        <v/>
      </c>
      <c r="M125" s="49" t="str">
        <f>IF(AND('Mapa final'!$AB$61="Media",'Mapa final'!$AD$61="Menor"),CONCATENATE("R20C",'Mapa final'!$R$61),"")</f>
        <v/>
      </c>
      <c r="N125" s="50" t="str">
        <f>IF(AND('Mapa final'!$AB$62="Media",'Mapa final'!$AD$62="Menor"),CONCATENATE("R20C",'Mapa final'!$R$62),"")</f>
        <v/>
      </c>
      <c r="O125" s="111" t="str">
        <f>IF(AND('Mapa final'!$AB$63="Media",'Mapa final'!$AD$63="Menor"),CONCATENATE("R20C",'Mapa final'!$R$63),"")</f>
        <v/>
      </c>
      <c r="P125" s="49" t="str">
        <f>IF(AND('Mapa final'!$AB$61="Media",'Mapa final'!$AD$61="Moderado"),CONCATENATE("R20C",'Mapa final'!$R$61),"")</f>
        <v/>
      </c>
      <c r="Q125" s="50" t="str">
        <f>IF(AND('Mapa final'!$AB$62="Media",'Mapa final'!$AD$62="Moderado"),CONCATENATE("R20C",'Mapa final'!$R$62),"")</f>
        <v/>
      </c>
      <c r="R125" s="111" t="str">
        <f>IF(AND('Mapa final'!$AB$63="Media",'Mapa final'!$AD$63="Moderado"),CONCATENATE("R20C",'Mapa final'!$R$63),"")</f>
        <v/>
      </c>
      <c r="S125" s="105" t="str">
        <f>IF(AND('Mapa final'!$AB$61="Media",'Mapa final'!$AD$61="Mayor"),CONCATENATE("R20C",'Mapa final'!$R$61),"")</f>
        <v/>
      </c>
      <c r="T125" s="42" t="str">
        <f>IF(AND('Mapa final'!$AB$62="Media",'Mapa final'!$AD$62="Mayor"),CONCATENATE("R20C",'Mapa final'!$R$62),"")</f>
        <v/>
      </c>
      <c r="U125" s="106" t="str">
        <f>IF(AND('Mapa final'!$AB$63="Media",'Mapa final'!$AD$63="Mayor"),CONCATENATE("R20C",'Mapa final'!$R$63),"")</f>
        <v/>
      </c>
      <c r="V125" s="43" t="str">
        <f>IF(AND('Mapa final'!$AB$61="Media",'Mapa final'!$AD$61="Catastrófico"),CONCATENATE("R20C",'Mapa final'!$R$61),"")</f>
        <v/>
      </c>
      <c r="W125" s="44" t="str">
        <f>IF(AND('Mapa final'!$AB$62="Media",'Mapa final'!$AD$62="Catastrófico"),CONCATENATE("R20C",'Mapa final'!$R$62),"")</f>
        <v/>
      </c>
      <c r="X125" s="100" t="str">
        <f>IF(AND('Mapa final'!$AB$63="Media",'Mapa final'!$AD$63="Catastrófico"),CONCATENATE("R20C",'Mapa final'!$R$63),"")</f>
        <v/>
      </c>
      <c r="Y125" s="56"/>
      <c r="Z125" s="311"/>
      <c r="AA125" s="312"/>
      <c r="AB125" s="312"/>
      <c r="AC125" s="312"/>
      <c r="AD125" s="312"/>
      <c r="AE125" s="313"/>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row>
    <row r="126" spans="1:61" ht="15" customHeight="1" x14ac:dyDescent="0.35">
      <c r="A126" s="56"/>
      <c r="B126" s="300"/>
      <c r="C126" s="300"/>
      <c r="D126" s="301"/>
      <c r="E126" s="289"/>
      <c r="F126" s="290"/>
      <c r="G126" s="290"/>
      <c r="H126" s="290"/>
      <c r="I126" s="288"/>
      <c r="J126" s="49" t="str">
        <f>IF(AND('Mapa final'!$AB$64="Media",'Mapa final'!$AD$64="Leve"),CONCATENATE("R21C",'Mapa final'!$R$64),"")</f>
        <v/>
      </c>
      <c r="K126" s="50" t="str">
        <f>IF(AND('Mapa final'!$AB$65="Media",'Mapa final'!$AD$65="Leve"),CONCATENATE("R21C",'Mapa final'!$R$65),"")</f>
        <v/>
      </c>
      <c r="L126" s="111" t="str">
        <f>IF(AND('Mapa final'!$AB$66="Media",'Mapa final'!$AD$66="Leve"),CONCATENATE("R21C",'Mapa final'!$R$66),"")</f>
        <v/>
      </c>
      <c r="M126" s="49" t="str">
        <f>IF(AND('Mapa final'!$AB$64="Media",'Mapa final'!$AD$64="Menor"),CONCATENATE("R21C",'Mapa final'!$R$64),"")</f>
        <v/>
      </c>
      <c r="N126" s="50" t="str">
        <f>IF(AND('Mapa final'!$AB$65="Media",'Mapa final'!$AD$65="Menor"),CONCATENATE("R21C",'Mapa final'!$R$65),"")</f>
        <v/>
      </c>
      <c r="O126" s="111" t="str">
        <f>IF(AND('Mapa final'!$AB$66="Media",'Mapa final'!$AD$66="Menor"),CONCATENATE("R21C",'Mapa final'!$R$66),"")</f>
        <v/>
      </c>
      <c r="P126" s="49" t="str">
        <f>IF(AND('Mapa final'!$AB$64="Media",'Mapa final'!$AD$64="Moderado"),CONCATENATE("R21C",'Mapa final'!$R$64),"")</f>
        <v/>
      </c>
      <c r="Q126" s="50" t="str">
        <f>IF(AND('Mapa final'!$AB$65="Media",'Mapa final'!$AD$65="Moderado"),CONCATENATE("R21C",'Mapa final'!$R$65),"")</f>
        <v/>
      </c>
      <c r="R126" s="111" t="str">
        <f>IF(AND('Mapa final'!$AB$66="Media",'Mapa final'!$AD$66="Moderado"),CONCATENATE("R21C",'Mapa final'!$R$66),"")</f>
        <v/>
      </c>
      <c r="S126" s="105" t="str">
        <f>IF(AND('Mapa final'!$AB$64="Media",'Mapa final'!$AD$64="Mayor"),CONCATENATE("R21C",'Mapa final'!$R$64),"")</f>
        <v/>
      </c>
      <c r="T126" s="42" t="str">
        <f>IF(AND('Mapa final'!$AB$65="Media",'Mapa final'!$AD$65="Mayor"),CONCATENATE("R21C",'Mapa final'!$R$65),"")</f>
        <v/>
      </c>
      <c r="U126" s="106" t="str">
        <f>IF(AND('Mapa final'!$AB$66="Media",'Mapa final'!$AD$66="Mayor"),CONCATENATE("R21C",'Mapa final'!$R$66),"")</f>
        <v/>
      </c>
      <c r="V126" s="43" t="str">
        <f>IF(AND('Mapa final'!$AB$64="Media",'Mapa final'!$AD$64="Catastrófico"),CONCATENATE("R21C",'Mapa final'!$R$64),"")</f>
        <v/>
      </c>
      <c r="W126" s="44" t="str">
        <f>IF(AND('Mapa final'!$AB$65="Media",'Mapa final'!$AD$65="Catastrófico"),CONCATENATE("R21C",'Mapa final'!$R$65),"")</f>
        <v/>
      </c>
      <c r="X126" s="100" t="str">
        <f>IF(AND('Mapa final'!$AB$66="Media",'Mapa final'!$AD$66="Catastrófico"),CONCATENATE("R21C",'Mapa final'!$R$66),"")</f>
        <v/>
      </c>
      <c r="Y126" s="56"/>
      <c r="Z126" s="311"/>
      <c r="AA126" s="312"/>
      <c r="AB126" s="312"/>
      <c r="AC126" s="312"/>
      <c r="AD126" s="312"/>
      <c r="AE126" s="313"/>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6"/>
    </row>
    <row r="127" spans="1:61" ht="15" customHeight="1" x14ac:dyDescent="0.35">
      <c r="A127" s="56"/>
      <c r="B127" s="300"/>
      <c r="C127" s="300"/>
      <c r="D127" s="301"/>
      <c r="E127" s="289"/>
      <c r="F127" s="290"/>
      <c r="G127" s="290"/>
      <c r="H127" s="290"/>
      <c r="I127" s="288"/>
      <c r="J127" s="49" t="str">
        <f>IF(AND('Mapa final'!$AB$67="Media",'Mapa final'!$AD$67="Leve"),CONCATENATE("R22C",'Mapa final'!$R$67),"")</f>
        <v/>
      </c>
      <c r="K127" s="50" t="str">
        <f>IF(AND('Mapa final'!$AB$68="Media",'Mapa final'!$AD$68="Leve"),CONCATENATE("R22C",'Mapa final'!$R$68),"")</f>
        <v/>
      </c>
      <c r="L127" s="111" t="str">
        <f>IF(AND('Mapa final'!$AB$69="Media",'Mapa final'!$AD$69="Leve"),CONCATENATE("R22C",'Mapa final'!$R$69),"")</f>
        <v/>
      </c>
      <c r="M127" s="49" t="str">
        <f>IF(AND('Mapa final'!$AB$67="Media",'Mapa final'!$AD$67="Menor"),CONCATENATE("R22C",'Mapa final'!$R$67),"")</f>
        <v/>
      </c>
      <c r="N127" s="50" t="str">
        <f>IF(AND('Mapa final'!$AB$68="Media",'Mapa final'!$AD$68="Menor"),CONCATENATE("R22C",'Mapa final'!$R$68),"")</f>
        <v/>
      </c>
      <c r="O127" s="111" t="str">
        <f>IF(AND('Mapa final'!$AB$69="Media",'Mapa final'!$AD$69="Menor"),CONCATENATE("R22C",'Mapa final'!$R$69),"")</f>
        <v/>
      </c>
      <c r="P127" s="49" t="str">
        <f>IF(AND('Mapa final'!$AB$67="Media",'Mapa final'!$AD$67="Moderado"),CONCATENATE("R22C",'Mapa final'!$R$67),"")</f>
        <v/>
      </c>
      <c r="Q127" s="50" t="str">
        <f>IF(AND('Mapa final'!$AB$68="Media",'Mapa final'!$AD$68="Moderado"),CONCATENATE("R22C",'Mapa final'!$R$68),"")</f>
        <v/>
      </c>
      <c r="R127" s="111" t="str">
        <f>IF(AND('Mapa final'!$AB$69="Media",'Mapa final'!$AD$69="Moderado"),CONCATENATE("R22C",'Mapa final'!$R$69),"")</f>
        <v/>
      </c>
      <c r="S127" s="105" t="str">
        <f>IF(AND('Mapa final'!$AB$67="Media",'Mapa final'!$AD$67="Mayor"),CONCATENATE("R22C",'Mapa final'!$R$67),"")</f>
        <v/>
      </c>
      <c r="T127" s="42" t="str">
        <f>IF(AND('Mapa final'!$AB$68="Media",'Mapa final'!$AD$68="Mayor"),CONCATENATE("R22C",'Mapa final'!$R$68),"")</f>
        <v/>
      </c>
      <c r="U127" s="106" t="str">
        <f>IF(AND('Mapa final'!$AB$69="Media",'Mapa final'!$AD$69="Mayor"),CONCATENATE("R22C",'Mapa final'!$R$69),"")</f>
        <v/>
      </c>
      <c r="V127" s="43" t="str">
        <f>IF(AND('Mapa final'!$AB$67="Media",'Mapa final'!$AD$67="Catastrófico"),CONCATENATE("R22C",'Mapa final'!$R$67),"")</f>
        <v/>
      </c>
      <c r="W127" s="44" t="str">
        <f>IF(AND('Mapa final'!$AB$68="Media",'Mapa final'!$AD$68="Catastrófico"),CONCATENATE("R22C",'Mapa final'!$R$68),"")</f>
        <v/>
      </c>
      <c r="X127" s="100" t="str">
        <f>IF(AND('Mapa final'!$AB$69="Media",'Mapa final'!$AD$69="Catastrófico"),CONCATENATE("R22C",'Mapa final'!$R$69),"")</f>
        <v/>
      </c>
      <c r="Y127" s="56"/>
      <c r="Z127" s="311"/>
      <c r="AA127" s="312"/>
      <c r="AB127" s="312"/>
      <c r="AC127" s="312"/>
      <c r="AD127" s="312"/>
      <c r="AE127" s="313"/>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row>
    <row r="128" spans="1:61" ht="15" customHeight="1" x14ac:dyDescent="0.35">
      <c r="A128" s="56"/>
      <c r="B128" s="300"/>
      <c r="C128" s="300"/>
      <c r="D128" s="301"/>
      <c r="E128" s="289"/>
      <c r="F128" s="290"/>
      <c r="G128" s="290"/>
      <c r="H128" s="290"/>
      <c r="I128" s="288"/>
      <c r="J128" s="49" t="str">
        <f>IF(AND('Mapa final'!$AB$73="Media",'Mapa final'!$AD$73="Leve"),CONCATENATE("R23C",'Mapa final'!$R$73),"")</f>
        <v/>
      </c>
      <c r="K128" s="50" t="str">
        <f>IF(AND('Mapa final'!$AB$74="Media",'Mapa final'!$AD$74="Leve"),CONCATENATE("R23C",'Mapa final'!$R$74),"")</f>
        <v/>
      </c>
      <c r="L128" s="111" t="str">
        <f>IF(AND('Mapa final'!$AB$75="Media",'Mapa final'!$AD$75="Leve"),CONCATENATE("R23C",'Mapa final'!$R$75),"")</f>
        <v/>
      </c>
      <c r="M128" s="49" t="str">
        <f>IF(AND('Mapa final'!$AB$73="Media",'Mapa final'!$AD$73="Menor"),CONCATENATE("R23C",'Mapa final'!$R$73),"")</f>
        <v/>
      </c>
      <c r="N128" s="50" t="str">
        <f>IF(AND('Mapa final'!$AB$74="Media",'Mapa final'!$AD$74="Menor"),CONCATENATE("R23C",'Mapa final'!$R$74),"")</f>
        <v/>
      </c>
      <c r="O128" s="111" t="str">
        <f>IF(AND('Mapa final'!$AB$75="Media",'Mapa final'!$AD$75="Menor"),CONCATENATE("R23C",'Mapa final'!$R$75),"")</f>
        <v/>
      </c>
      <c r="P128" s="49" t="str">
        <f>IF(AND('Mapa final'!$AB$73="Media",'Mapa final'!$AD$73="Moderado"),CONCATENATE("R23C",'Mapa final'!$R$73),"")</f>
        <v/>
      </c>
      <c r="Q128" s="50" t="str">
        <f>IF(AND('Mapa final'!$AB$74="Media",'Mapa final'!$AD$74="Moderado"),CONCATENATE("R23C",'Mapa final'!$R$74),"")</f>
        <v/>
      </c>
      <c r="R128" s="111" t="str">
        <f>IF(AND('Mapa final'!$AB$75="Media",'Mapa final'!$AD$75="Moderado"),CONCATENATE("R23C",'Mapa final'!$R$75),"")</f>
        <v/>
      </c>
      <c r="S128" s="105" t="str">
        <f>IF(AND('Mapa final'!$AB$73="Media",'Mapa final'!$AD$73="Mayor"),CONCATENATE("R23C",'Mapa final'!$R$73),"")</f>
        <v/>
      </c>
      <c r="T128" s="42" t="str">
        <f>IF(AND('Mapa final'!$AB$74="Media",'Mapa final'!$AD$74="Mayor"),CONCATENATE("R23C",'Mapa final'!$R$74),"")</f>
        <v/>
      </c>
      <c r="U128" s="106" t="str">
        <f>IF(AND('Mapa final'!$AB$75="Media",'Mapa final'!$AD$75="Mayor"),CONCATENATE("R23C",'Mapa final'!$R$75),"")</f>
        <v/>
      </c>
      <c r="V128" s="43" t="str">
        <f>IF(AND('Mapa final'!$AB$73="Media",'Mapa final'!$AD$73="Catastrófico"),CONCATENATE("R23C",'Mapa final'!$R$73),"")</f>
        <v/>
      </c>
      <c r="W128" s="44" t="str">
        <f>IF(AND('Mapa final'!$AB$74="Media",'Mapa final'!$AD$74="Catastrófico"),CONCATENATE("R23C",'Mapa final'!$R$74),"")</f>
        <v/>
      </c>
      <c r="X128" s="100" t="str">
        <f>IF(AND('Mapa final'!$AB$75="Media",'Mapa final'!$AD$75="Catastrófico"),CONCATENATE("R23C",'Mapa final'!$R$75),"")</f>
        <v/>
      </c>
      <c r="Y128" s="56"/>
      <c r="Z128" s="311"/>
      <c r="AA128" s="312"/>
      <c r="AB128" s="312"/>
      <c r="AC128" s="312"/>
      <c r="AD128" s="312"/>
      <c r="AE128" s="313"/>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c r="BF128" s="56"/>
      <c r="BG128" s="56"/>
      <c r="BH128" s="56"/>
      <c r="BI128" s="56"/>
    </row>
    <row r="129" spans="1:61" ht="15" customHeight="1" x14ac:dyDescent="0.35">
      <c r="A129" s="56"/>
      <c r="B129" s="300"/>
      <c r="C129" s="300"/>
      <c r="D129" s="301"/>
      <c r="E129" s="289"/>
      <c r="F129" s="290"/>
      <c r="G129" s="290"/>
      <c r="H129" s="290"/>
      <c r="I129" s="288"/>
      <c r="J129" s="49" t="str">
        <f>IF(AND('Mapa final'!$AB$76="Media",'Mapa final'!$AD$76="Leve"),CONCATENATE("R24C",'Mapa final'!$R$76),"")</f>
        <v/>
      </c>
      <c r="K129" s="50" t="str">
        <f>IF(AND('Mapa final'!$AB$77="Media",'Mapa final'!$AD$77="Leve"),CONCATENATE("R24C",'Mapa final'!$R$77),"")</f>
        <v/>
      </c>
      <c r="L129" s="111" t="str">
        <f>IF(AND('Mapa final'!$AB$78="Media",'Mapa final'!$AD$78="Leve"),CONCATENATE("R24C",'Mapa final'!$R$78),"")</f>
        <v/>
      </c>
      <c r="M129" s="49" t="str">
        <f>IF(AND('Mapa final'!$AB$76="Media",'Mapa final'!$AD$76="Menor"),CONCATENATE("R24C",'Mapa final'!$R$76),"")</f>
        <v/>
      </c>
      <c r="N129" s="50" t="str">
        <f>IF(AND('Mapa final'!$AB$77="Media",'Mapa final'!$AD$77="Menor"),CONCATENATE("R24C",'Mapa final'!$R$77),"")</f>
        <v/>
      </c>
      <c r="O129" s="111" t="str">
        <f>IF(AND('Mapa final'!$AB$78="Media",'Mapa final'!$AD$78="Menor"),CONCATENATE("R24C",'Mapa final'!$R$78),"")</f>
        <v/>
      </c>
      <c r="P129" s="49" t="str">
        <f>IF(AND('Mapa final'!$AB$76="Media",'Mapa final'!$AD$76="Moderado"),CONCATENATE("R24C",'Mapa final'!$R$76),"")</f>
        <v/>
      </c>
      <c r="Q129" s="50" t="str">
        <f>IF(AND('Mapa final'!$AB$77="Media",'Mapa final'!$AD$77="Moderado"),CONCATENATE("R24C",'Mapa final'!$R$77),"")</f>
        <v/>
      </c>
      <c r="R129" s="111" t="str">
        <f>IF(AND('Mapa final'!$AB$78="Media",'Mapa final'!$AD$78="Moderado"),CONCATENATE("R24C",'Mapa final'!$R$78),"")</f>
        <v/>
      </c>
      <c r="S129" s="105" t="str">
        <f>IF(AND('Mapa final'!$AB$76="Media",'Mapa final'!$AD$76="Mayor"),CONCATENATE("R24C",'Mapa final'!$R$76),"")</f>
        <v/>
      </c>
      <c r="T129" s="42" t="str">
        <f>IF(AND('Mapa final'!$AB$77="Media",'Mapa final'!$AD$77="Mayor"),CONCATENATE("R24C",'Mapa final'!$R$77),"")</f>
        <v/>
      </c>
      <c r="U129" s="106" t="str">
        <f>IF(AND('Mapa final'!$AB$78="Media",'Mapa final'!$AD$78="Mayor"),CONCATENATE("R24C",'Mapa final'!$R$78),"")</f>
        <v/>
      </c>
      <c r="V129" s="43" t="str">
        <f>IF(AND('Mapa final'!$AB$76="Media",'Mapa final'!$AD$76="Catastrófico"),CONCATENATE("R24C",'Mapa final'!$R$76),"")</f>
        <v/>
      </c>
      <c r="W129" s="44" t="str">
        <f>IF(AND('Mapa final'!$AB$77="Media",'Mapa final'!$AD$77="Catastrófico"),CONCATENATE("R24C",'Mapa final'!$R$77),"")</f>
        <v/>
      </c>
      <c r="X129" s="100" t="str">
        <f>IF(AND('Mapa final'!$AB$78="Media",'Mapa final'!$AD$78="Catastrófico"),CONCATENATE("R24C",'Mapa final'!$R$78),"")</f>
        <v/>
      </c>
      <c r="Y129" s="56"/>
      <c r="Z129" s="311"/>
      <c r="AA129" s="312"/>
      <c r="AB129" s="312"/>
      <c r="AC129" s="312"/>
      <c r="AD129" s="312"/>
      <c r="AE129" s="313"/>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c r="BG129" s="56"/>
      <c r="BH129" s="56"/>
      <c r="BI129" s="56"/>
    </row>
    <row r="130" spans="1:61" ht="15" customHeight="1" x14ac:dyDescent="0.35">
      <c r="A130" s="56"/>
      <c r="B130" s="300"/>
      <c r="C130" s="300"/>
      <c r="D130" s="301"/>
      <c r="E130" s="289"/>
      <c r="F130" s="290"/>
      <c r="G130" s="290"/>
      <c r="H130" s="290"/>
      <c r="I130" s="288"/>
      <c r="J130" s="49" t="str">
        <f>IF(AND('Mapa final'!$AB$79="Media",'Mapa final'!$AD$79="Leve"),CONCATENATE("R25C",'Mapa final'!$R$79),"")</f>
        <v/>
      </c>
      <c r="K130" s="50" t="str">
        <f>IF(AND('Mapa final'!$AB$80="Media",'Mapa final'!$AD$80="Leve"),CONCATENATE("R25C",'Mapa final'!$R$80),"")</f>
        <v/>
      </c>
      <c r="L130" s="111" t="str">
        <f>IF(AND('Mapa final'!$AB$81="Media",'Mapa final'!$AD$81="Leve"),CONCATENATE("R25C",'Mapa final'!$R$81),"")</f>
        <v/>
      </c>
      <c r="M130" s="49" t="str">
        <f>IF(AND('Mapa final'!$AB$79="Media",'Mapa final'!$AD$79="Menor"),CONCATENATE("R25C",'Mapa final'!$R$79),"")</f>
        <v/>
      </c>
      <c r="N130" s="50" t="str">
        <f>IF(AND('Mapa final'!$AB$80="Media",'Mapa final'!$AD$80="Menor"),CONCATENATE("R25C",'Mapa final'!$R$80),"")</f>
        <v/>
      </c>
      <c r="O130" s="111" t="str">
        <f>IF(AND('Mapa final'!$AB$81="Media",'Mapa final'!$AD$81="Menor"),CONCATENATE("R25C",'Mapa final'!$R$81),"")</f>
        <v/>
      </c>
      <c r="P130" s="49" t="str">
        <f>IF(AND('Mapa final'!$AB$79="Media",'Mapa final'!$AD$79="Moderado"),CONCATENATE("R25C",'Mapa final'!$R$79),"")</f>
        <v/>
      </c>
      <c r="Q130" s="50" t="str">
        <f>IF(AND('Mapa final'!$AB$80="Media",'Mapa final'!$AD$80="Moderado"),CONCATENATE("R25C",'Mapa final'!$R$80),"")</f>
        <v/>
      </c>
      <c r="R130" s="111" t="str">
        <f>IF(AND('Mapa final'!$AB$81="Media",'Mapa final'!$AD$81="Moderado"),CONCATENATE("R25C",'Mapa final'!$R$81),"")</f>
        <v/>
      </c>
      <c r="S130" s="105" t="str">
        <f>IF(AND('Mapa final'!$AB$79="Media",'Mapa final'!$AD$79="Mayor"),CONCATENATE("R25C",'Mapa final'!$R$79),"")</f>
        <v/>
      </c>
      <c r="T130" s="42" t="str">
        <f>IF(AND('Mapa final'!$AB$80="Media",'Mapa final'!$AD$80="Mayor"),CONCATENATE("R25C",'Mapa final'!$R$80),"")</f>
        <v/>
      </c>
      <c r="U130" s="106" t="str">
        <f>IF(AND('Mapa final'!$AB$81="Media",'Mapa final'!$AD$81="Mayor"),CONCATENATE("R25C",'Mapa final'!$R$81),"")</f>
        <v/>
      </c>
      <c r="V130" s="43" t="str">
        <f>IF(AND('Mapa final'!$AB$79="Media",'Mapa final'!$AD$79="Catastrófico"),CONCATENATE("R25C",'Mapa final'!$R$79),"")</f>
        <v/>
      </c>
      <c r="W130" s="44" t="str">
        <f>IF(AND('Mapa final'!$AB$80="Media",'Mapa final'!$AD$80="Catastrófico"),CONCATENATE("R25C",'Mapa final'!$R$80),"")</f>
        <v/>
      </c>
      <c r="X130" s="100" t="str">
        <f>IF(AND('Mapa final'!$AB$81="Media",'Mapa final'!$AD$81="Catastrófico"),CONCATENATE("R25C",'Mapa final'!$R$81),"")</f>
        <v/>
      </c>
      <c r="Y130" s="56"/>
      <c r="Z130" s="311"/>
      <c r="AA130" s="312"/>
      <c r="AB130" s="312"/>
      <c r="AC130" s="312"/>
      <c r="AD130" s="312"/>
      <c r="AE130" s="313"/>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c r="BG130" s="56"/>
      <c r="BH130" s="56"/>
      <c r="BI130" s="56"/>
    </row>
    <row r="131" spans="1:61" ht="15" customHeight="1" x14ac:dyDescent="0.35">
      <c r="A131" s="56"/>
      <c r="B131" s="300"/>
      <c r="C131" s="300"/>
      <c r="D131" s="301"/>
      <c r="E131" s="289"/>
      <c r="F131" s="290"/>
      <c r="G131" s="290"/>
      <c r="H131" s="290"/>
      <c r="I131" s="288"/>
      <c r="J131" s="49" t="str">
        <f>IF(AND('Mapa final'!$AB$82="Media",'Mapa final'!$AD$82="Leve"),CONCATENATE("R26C",'Mapa final'!$R$82),"")</f>
        <v/>
      </c>
      <c r="K131" s="50" t="str">
        <f>IF(AND('Mapa final'!$AB$83="Media",'Mapa final'!$AD$83="Leve"),CONCATENATE("R26C",'Mapa final'!$R$83),"")</f>
        <v/>
      </c>
      <c r="L131" s="111" t="str">
        <f>IF(AND('Mapa final'!$AB$84="Media",'Mapa final'!$AD$84="Leve"),CONCATENATE("R26C",'Mapa final'!$R$84),"")</f>
        <v/>
      </c>
      <c r="M131" s="49" t="str">
        <f>IF(AND('Mapa final'!$AB$82="Media",'Mapa final'!$AD$82="Menor"),CONCATENATE("R26C",'Mapa final'!$R$82),"")</f>
        <v/>
      </c>
      <c r="N131" s="50" t="str">
        <f>IF(AND('Mapa final'!$AB$83="Media",'Mapa final'!$AD$83="Menor"),CONCATENATE("R26C",'Mapa final'!$R$83),"")</f>
        <v/>
      </c>
      <c r="O131" s="111" t="str">
        <f>IF(AND('Mapa final'!$AB$84="Media",'Mapa final'!$AD$84="Menor"),CONCATENATE("R26C",'Mapa final'!$R$84),"")</f>
        <v/>
      </c>
      <c r="P131" s="49" t="str">
        <f>IF(AND('Mapa final'!$AB$82="Media",'Mapa final'!$AD$82="Moderado"),CONCATENATE("R26C",'Mapa final'!$R$82),"")</f>
        <v/>
      </c>
      <c r="Q131" s="50" t="str">
        <f>IF(AND('Mapa final'!$AB$83="Media",'Mapa final'!$AD$83="Moderado"),CONCATENATE("R26C",'Mapa final'!$R$83),"")</f>
        <v/>
      </c>
      <c r="R131" s="111" t="str">
        <f>IF(AND('Mapa final'!$AB$84="Media",'Mapa final'!$AD$84="Moderado"),CONCATENATE("R26C",'Mapa final'!$R$84),"")</f>
        <v/>
      </c>
      <c r="S131" s="105" t="str">
        <f>IF(AND('Mapa final'!$AB$82="Media",'Mapa final'!$AD$82="Mayor"),CONCATENATE("R26C",'Mapa final'!$R$82),"")</f>
        <v/>
      </c>
      <c r="T131" s="42" t="str">
        <f>IF(AND('Mapa final'!$AB$83="Media",'Mapa final'!$AD$83="Mayor"),CONCATENATE("R26C",'Mapa final'!$R$83),"")</f>
        <v/>
      </c>
      <c r="U131" s="106" t="str">
        <f>IF(AND('Mapa final'!$AB$84="Media",'Mapa final'!$AD$84="Mayor"),CONCATENATE("R26C",'Mapa final'!$R$84),"")</f>
        <v/>
      </c>
      <c r="V131" s="43" t="str">
        <f>IF(AND('Mapa final'!$AB$82="Media",'Mapa final'!$AD$82="Catastrófico"),CONCATENATE("R26C",'Mapa final'!$R$82),"")</f>
        <v/>
      </c>
      <c r="W131" s="44" t="str">
        <f>IF(AND('Mapa final'!$AB$83="Media",'Mapa final'!$AD$83="Catastrófico"),CONCATENATE("R26C",'Mapa final'!$R$83),"")</f>
        <v/>
      </c>
      <c r="X131" s="100" t="str">
        <f>IF(AND('Mapa final'!$AB$84="Media",'Mapa final'!$AD$84="Catastrófico"),CONCATENATE("R26C",'Mapa final'!$R$84),"")</f>
        <v/>
      </c>
      <c r="Y131" s="56"/>
      <c r="Z131" s="311"/>
      <c r="AA131" s="312"/>
      <c r="AB131" s="312"/>
      <c r="AC131" s="312"/>
      <c r="AD131" s="312"/>
      <c r="AE131" s="313"/>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row>
    <row r="132" spans="1:61" ht="15" customHeight="1" x14ac:dyDescent="0.35">
      <c r="A132" s="56"/>
      <c r="B132" s="300"/>
      <c r="C132" s="300"/>
      <c r="D132" s="301"/>
      <c r="E132" s="289"/>
      <c r="F132" s="290"/>
      <c r="G132" s="290"/>
      <c r="H132" s="290"/>
      <c r="I132" s="288"/>
      <c r="J132" s="49" t="str">
        <f>IF(AND('Mapa final'!$AB$85="Media",'Mapa final'!$AD$85="Leve"),CONCATENATE("R27C",'Mapa final'!$R$85),"")</f>
        <v/>
      </c>
      <c r="K132" s="50" t="str">
        <f>IF(AND('Mapa final'!$AB$86="Media",'Mapa final'!$AD$86="Leve"),CONCATENATE("R27C",'Mapa final'!$R$86),"")</f>
        <v/>
      </c>
      <c r="L132" s="111" t="str">
        <f>IF(AND('Mapa final'!$AB$87="Media",'Mapa final'!$AD$87="Leve"),CONCATENATE("R27C",'Mapa final'!$R$87),"")</f>
        <v/>
      </c>
      <c r="M132" s="49" t="str">
        <f>IF(AND('Mapa final'!$AB$85="Media",'Mapa final'!$AD$85="Menor"),CONCATENATE("R27C",'Mapa final'!$R$85),"")</f>
        <v/>
      </c>
      <c r="N132" s="50" t="str">
        <f>IF(AND('Mapa final'!$AB$86="Media",'Mapa final'!$AD$86="Menor"),CONCATENATE("R27C",'Mapa final'!$R$86),"")</f>
        <v/>
      </c>
      <c r="O132" s="111" t="str">
        <f>IF(AND('Mapa final'!$AB$87="Media",'Mapa final'!$AD$87="Menor"),CONCATENATE("R27C",'Mapa final'!$R$87),"")</f>
        <v/>
      </c>
      <c r="P132" s="49" t="str">
        <f>IF(AND('Mapa final'!$AB$85="Media",'Mapa final'!$AD$85="Moderado"),CONCATENATE("R27C",'Mapa final'!$R$85),"")</f>
        <v/>
      </c>
      <c r="Q132" s="50" t="str">
        <f>IF(AND('Mapa final'!$AB$86="Media",'Mapa final'!$AD$86="Moderado"),CONCATENATE("R27C",'Mapa final'!$R$86),"")</f>
        <v/>
      </c>
      <c r="R132" s="111" t="str">
        <f>IF(AND('Mapa final'!$AB$87="Media",'Mapa final'!$AD$87="Moderado"),CONCATENATE("R27C",'Mapa final'!$R$87),"")</f>
        <v/>
      </c>
      <c r="S132" s="105" t="str">
        <f>IF(AND('Mapa final'!$AB$85="Media",'Mapa final'!$AD$85="Mayor"),CONCATENATE("R27C",'Mapa final'!$R$85),"")</f>
        <v/>
      </c>
      <c r="T132" s="42" t="str">
        <f>IF(AND('Mapa final'!$AB$86="Media",'Mapa final'!$AD$86="Mayor"),CONCATENATE("R27C",'Mapa final'!$R$86),"")</f>
        <v/>
      </c>
      <c r="U132" s="106" t="str">
        <f>IF(AND('Mapa final'!$AB$87="Media",'Mapa final'!$AD$87="Mayor"),CONCATENATE("R27C",'Mapa final'!$R$87),"")</f>
        <v/>
      </c>
      <c r="V132" s="43" t="str">
        <f>IF(AND('Mapa final'!$AB$85="Media",'Mapa final'!$AD$85="Catastrófico"),CONCATENATE("R27C",'Mapa final'!$R$85),"")</f>
        <v/>
      </c>
      <c r="W132" s="44" t="str">
        <f>IF(AND('Mapa final'!$AB$86="Media",'Mapa final'!$AD$86="Catastrófico"),CONCATENATE("R27C",'Mapa final'!$R$86),"")</f>
        <v/>
      </c>
      <c r="X132" s="100" t="str">
        <f>IF(AND('Mapa final'!$AB$87="Media",'Mapa final'!$AD$87="Catastrófico"),CONCATENATE("R27C",'Mapa final'!$R$87),"")</f>
        <v/>
      </c>
      <c r="Y132" s="56"/>
      <c r="Z132" s="311"/>
      <c r="AA132" s="312"/>
      <c r="AB132" s="312"/>
      <c r="AC132" s="312"/>
      <c r="AD132" s="312"/>
      <c r="AE132" s="313"/>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row>
    <row r="133" spans="1:61" ht="15" customHeight="1" x14ac:dyDescent="0.35">
      <c r="A133" s="56"/>
      <c r="B133" s="300"/>
      <c r="C133" s="300"/>
      <c r="D133" s="301"/>
      <c r="E133" s="289"/>
      <c r="F133" s="290"/>
      <c r="G133" s="290"/>
      <c r="H133" s="290"/>
      <c r="I133" s="288"/>
      <c r="J133" s="49" t="str">
        <f>IF(AND('Mapa final'!$AB$88="Media",'Mapa final'!$AD$88="Leve"),CONCATENATE("R28C",'Mapa final'!$R$88),"")</f>
        <v/>
      </c>
      <c r="K133" s="50" t="str">
        <f>IF(AND('Mapa final'!$AB$89="Media",'Mapa final'!$AD$89="Leve"),CONCATENATE("R28C",'Mapa final'!$R$89),"")</f>
        <v/>
      </c>
      <c r="L133" s="111" t="str">
        <f>IF(AND('Mapa final'!$AB$90="Media",'Mapa final'!$AD$90="Leve"),CONCATENATE("R28C",'Mapa final'!$R$90),"")</f>
        <v/>
      </c>
      <c r="M133" s="49" t="str">
        <f>IF(AND('Mapa final'!$AB$88="Media",'Mapa final'!$AD$88="Menor"),CONCATENATE("R28C",'Mapa final'!$R$88),"")</f>
        <v/>
      </c>
      <c r="N133" s="50" t="str">
        <f>IF(AND('Mapa final'!$AB$89="Media",'Mapa final'!$AD$89="Menor"),CONCATENATE("R28C",'Mapa final'!$R$89),"")</f>
        <v/>
      </c>
      <c r="O133" s="111" t="str">
        <f>IF(AND('Mapa final'!$AB$90="Media",'Mapa final'!$AD$90="Menor"),CONCATENATE("R28C",'Mapa final'!$R$90),"")</f>
        <v/>
      </c>
      <c r="P133" s="49" t="str">
        <f>IF(AND('Mapa final'!$AB$88="Media",'Mapa final'!$AD$88="Moderado"),CONCATENATE("R28C",'Mapa final'!$R$88),"")</f>
        <v/>
      </c>
      <c r="Q133" s="50" t="str">
        <f>IF(AND('Mapa final'!$AB$89="Media",'Mapa final'!$AD$89="Moderado"),CONCATENATE("R28C",'Mapa final'!$R$89),"")</f>
        <v/>
      </c>
      <c r="R133" s="111" t="str">
        <f>IF(AND('Mapa final'!$AB$90="Media",'Mapa final'!$AD$90="Moderado"),CONCATENATE("R28C",'Mapa final'!$R$90),"")</f>
        <v/>
      </c>
      <c r="S133" s="105" t="str">
        <f>IF(AND('Mapa final'!$AB$88="Media",'Mapa final'!$AD$88="Mayor"),CONCATENATE("R28C",'Mapa final'!$R$88),"")</f>
        <v/>
      </c>
      <c r="T133" s="42" t="str">
        <f>IF(AND('Mapa final'!$AB$89="Media",'Mapa final'!$AD$89="Mayor"),CONCATENATE("R28C",'Mapa final'!$R$89),"")</f>
        <v/>
      </c>
      <c r="U133" s="106" t="str">
        <f>IF(AND('Mapa final'!$AB$90="Media",'Mapa final'!$AD$90="Mayor"),CONCATENATE("R28C",'Mapa final'!$R$90),"")</f>
        <v/>
      </c>
      <c r="V133" s="43" t="str">
        <f>IF(AND('Mapa final'!$AB$88="Media",'Mapa final'!$AD$88="Catastrófico"),CONCATENATE("R28C",'Mapa final'!$R$88),"")</f>
        <v/>
      </c>
      <c r="W133" s="44" t="str">
        <f>IF(AND('Mapa final'!$AB$89="Media",'Mapa final'!$AD$89="Catastrófico"),CONCATENATE("R28C",'Mapa final'!$R$89),"")</f>
        <v/>
      </c>
      <c r="X133" s="100" t="str">
        <f>IF(AND('Mapa final'!$AB$90="Media",'Mapa final'!$AD$90="Catastrófico"),CONCATENATE("R28C",'Mapa final'!$R$90),"")</f>
        <v/>
      </c>
      <c r="Y133" s="56"/>
      <c r="Z133" s="311"/>
      <c r="AA133" s="312"/>
      <c r="AB133" s="312"/>
      <c r="AC133" s="312"/>
      <c r="AD133" s="312"/>
      <c r="AE133" s="313"/>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row>
    <row r="134" spans="1:61" ht="15" customHeight="1" x14ac:dyDescent="0.35">
      <c r="A134" s="56"/>
      <c r="B134" s="300"/>
      <c r="C134" s="300"/>
      <c r="D134" s="301"/>
      <c r="E134" s="289"/>
      <c r="F134" s="290"/>
      <c r="G134" s="290"/>
      <c r="H134" s="290"/>
      <c r="I134" s="288"/>
      <c r="J134" s="49" t="str">
        <f>IF(AND('Mapa final'!$AB$91="Media",'Mapa final'!$AD$91="Leve"),CONCATENATE("R29C",'Mapa final'!$R$91),"")</f>
        <v/>
      </c>
      <c r="K134" s="50" t="str">
        <f>IF(AND('Mapa final'!$AB$92="Media",'Mapa final'!$AD$92="Leve"),CONCATENATE("R29C",'Mapa final'!$R$92),"")</f>
        <v/>
      </c>
      <c r="L134" s="111" t="str">
        <f>IF(AND('Mapa final'!$AB$93="Media",'Mapa final'!$AD$93="Leve"),CONCATENATE("R29C",'Mapa final'!$R$93),"")</f>
        <v/>
      </c>
      <c r="M134" s="49" t="str">
        <f>IF(AND('Mapa final'!$AB$91="Media",'Mapa final'!$AD$91="Menor"),CONCATENATE("R29C",'Mapa final'!$R$91),"")</f>
        <v/>
      </c>
      <c r="N134" s="50" t="str">
        <f>IF(AND('Mapa final'!$AB$92="Media",'Mapa final'!$AD$92="Menor"),CONCATENATE("R29C",'Mapa final'!$R$92),"")</f>
        <v/>
      </c>
      <c r="O134" s="111" t="str">
        <f>IF(AND('Mapa final'!$AB$93="Media",'Mapa final'!$AD$93="Menor"),CONCATENATE("R29C",'Mapa final'!$R$93),"")</f>
        <v/>
      </c>
      <c r="P134" s="49" t="str">
        <f>IF(AND('Mapa final'!$AB$91="Media",'Mapa final'!$AD$91="Moderado"),CONCATENATE("R29C",'Mapa final'!$R$91),"")</f>
        <v/>
      </c>
      <c r="Q134" s="50" t="str">
        <f>IF(AND('Mapa final'!$AB$92="Media",'Mapa final'!$AD$92="Moderado"),CONCATENATE("R29C",'Mapa final'!$R$92),"")</f>
        <v/>
      </c>
      <c r="R134" s="111" t="str">
        <f>IF(AND('Mapa final'!$AB$93="Media",'Mapa final'!$AD$93="Moderado"),CONCATENATE("R29C",'Mapa final'!$R$93),"")</f>
        <v/>
      </c>
      <c r="S134" s="105" t="str">
        <f>IF(AND('Mapa final'!$AB$91="Media",'Mapa final'!$AD$91="Mayor"),CONCATENATE("R29C",'Mapa final'!$R$91),"")</f>
        <v/>
      </c>
      <c r="T134" s="42" t="str">
        <f>IF(AND('Mapa final'!$AB$92="Media",'Mapa final'!$AD$92="Mayor"),CONCATENATE("R29C",'Mapa final'!$R$92),"")</f>
        <v/>
      </c>
      <c r="U134" s="106" t="str">
        <f>IF(AND('Mapa final'!$AB$93="Media",'Mapa final'!$AD$93="Mayor"),CONCATENATE("R29C",'Mapa final'!$R$93),"")</f>
        <v/>
      </c>
      <c r="V134" s="43" t="str">
        <f>IF(AND('Mapa final'!$AB$91="Media",'Mapa final'!$AD$91="Catastrófico"),CONCATENATE("R29C",'Mapa final'!$R$91),"")</f>
        <v/>
      </c>
      <c r="W134" s="44" t="str">
        <f>IF(AND('Mapa final'!$AB$92="Media",'Mapa final'!$AD$92="Catastrófico"),CONCATENATE("R29C",'Mapa final'!$R$92),"")</f>
        <v/>
      </c>
      <c r="X134" s="100" t="str">
        <f>IF(AND('Mapa final'!$AB$93="Media",'Mapa final'!$AD$93="Catastrófico"),CONCATENATE("R29C",'Mapa final'!$R$93),"")</f>
        <v/>
      </c>
      <c r="Y134" s="56"/>
      <c r="Z134" s="311"/>
      <c r="AA134" s="312"/>
      <c r="AB134" s="312"/>
      <c r="AC134" s="312"/>
      <c r="AD134" s="312"/>
      <c r="AE134" s="313"/>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row>
    <row r="135" spans="1:61" ht="15" customHeight="1" x14ac:dyDescent="0.35">
      <c r="A135" s="56"/>
      <c r="B135" s="300"/>
      <c r="C135" s="300"/>
      <c r="D135" s="301"/>
      <c r="E135" s="289"/>
      <c r="F135" s="290"/>
      <c r="G135" s="290"/>
      <c r="H135" s="290"/>
      <c r="I135" s="288"/>
      <c r="J135" s="49" t="str">
        <f>IF(AND('Mapa final'!$AB$94="Media",'Mapa final'!$AD$94="Leve"),CONCATENATE("R30C",'Mapa final'!$R$94),"")</f>
        <v/>
      </c>
      <c r="K135" s="50" t="str">
        <f>IF(AND('Mapa final'!$AB$95="Media",'Mapa final'!$AD$95="Leve"),CONCATENATE("R30C",'Mapa final'!$R$95),"")</f>
        <v/>
      </c>
      <c r="L135" s="111" t="str">
        <f>IF(AND('Mapa final'!$AB$96="Media",'Mapa final'!$AD$96="Leve"),CONCATENATE("R30C",'Mapa final'!$R$96),"")</f>
        <v/>
      </c>
      <c r="M135" s="49" t="str">
        <f>IF(AND('Mapa final'!$AB$94="Media",'Mapa final'!$AD$94="Menor"),CONCATENATE("R30C",'Mapa final'!$R$94),"")</f>
        <v/>
      </c>
      <c r="N135" s="50" t="str">
        <f>IF(AND('Mapa final'!$AB$95="Media",'Mapa final'!$AD$95="Menor"),CONCATENATE("R30C",'Mapa final'!$R$95),"")</f>
        <v/>
      </c>
      <c r="O135" s="111" t="str">
        <f>IF(AND('Mapa final'!$AB$96="Media",'Mapa final'!$AD$96="Menor"),CONCATENATE("R30C",'Mapa final'!$R$96),"")</f>
        <v/>
      </c>
      <c r="P135" s="49" t="str">
        <f>IF(AND('Mapa final'!$AB$94="Media",'Mapa final'!$AD$94="Moderado"),CONCATENATE("R30C",'Mapa final'!$R$94),"")</f>
        <v/>
      </c>
      <c r="Q135" s="50" t="str">
        <f>IF(AND('Mapa final'!$AB$95="Media",'Mapa final'!$AD$95="Moderado"),CONCATENATE("R30C",'Mapa final'!$R$95),"")</f>
        <v/>
      </c>
      <c r="R135" s="111" t="str">
        <f>IF(AND('Mapa final'!$AB$96="Media",'Mapa final'!$AD$96="Moderado"),CONCATENATE("R30C",'Mapa final'!$R$96),"")</f>
        <v/>
      </c>
      <c r="S135" s="105" t="str">
        <f>IF(AND('Mapa final'!$AB$94="Media",'Mapa final'!$AD$94="Mayor"),CONCATENATE("R30C",'Mapa final'!$R$94),"")</f>
        <v>R30C1</v>
      </c>
      <c r="T135" s="42" t="str">
        <f>IF(AND('Mapa final'!$AB$95="Media",'Mapa final'!$AD$95="Mayor"),CONCATENATE("R30C",'Mapa final'!$R$95),"")</f>
        <v/>
      </c>
      <c r="U135" s="106" t="str">
        <f>IF(AND('Mapa final'!$AB$96="Media",'Mapa final'!$AD$96="Mayor"),CONCATENATE("R30C",'Mapa final'!$R$96),"")</f>
        <v/>
      </c>
      <c r="V135" s="43" t="str">
        <f>IF(AND('Mapa final'!$AB$94="Media",'Mapa final'!$AD$94="Catastrófico"),CONCATENATE("R30C",'Mapa final'!$R$94),"")</f>
        <v/>
      </c>
      <c r="W135" s="44" t="str">
        <f>IF(AND('Mapa final'!$AB$95="Media",'Mapa final'!$AD$95="Catastrófico"),CONCATENATE("R30C",'Mapa final'!$R$95),"")</f>
        <v/>
      </c>
      <c r="X135" s="100" t="str">
        <f>IF(AND('Mapa final'!$AB$96="Media",'Mapa final'!$AD$96="Catastrófico"),CONCATENATE("R30C",'Mapa final'!$R$96),"")</f>
        <v/>
      </c>
      <c r="Y135" s="56"/>
      <c r="Z135" s="311"/>
      <c r="AA135" s="312"/>
      <c r="AB135" s="312"/>
      <c r="AC135" s="312"/>
      <c r="AD135" s="312"/>
      <c r="AE135" s="313"/>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row>
    <row r="136" spans="1:61" ht="15" customHeight="1" x14ac:dyDescent="0.35">
      <c r="A136" s="56"/>
      <c r="B136" s="300"/>
      <c r="C136" s="300"/>
      <c r="D136" s="301"/>
      <c r="E136" s="289"/>
      <c r="F136" s="290"/>
      <c r="G136" s="290"/>
      <c r="H136" s="290"/>
      <c r="I136" s="288"/>
      <c r="J136" s="49" t="str">
        <f>IF(AND('Mapa final'!$AB$97="Media",'Mapa final'!$AD$97="Leve"),CONCATENATE("R31C",'Mapa final'!$R$97),"")</f>
        <v/>
      </c>
      <c r="K136" s="50" t="str">
        <f>IF(AND('Mapa final'!$AB$98="Media",'Mapa final'!$AD$98="Leve"),CONCATENATE("R31C",'Mapa final'!$R$98),"")</f>
        <v/>
      </c>
      <c r="L136" s="111" t="str">
        <f>IF(AND('Mapa final'!$AB$99="Media",'Mapa final'!$AD$99="Leve"),CONCATENATE("R31C",'Mapa final'!$R$99),"")</f>
        <v/>
      </c>
      <c r="M136" s="49" t="str">
        <f>IF(AND('Mapa final'!$AB$97="Media",'Mapa final'!$AD$97="Menor"),CONCATENATE("R31C",'Mapa final'!$R$97),"")</f>
        <v/>
      </c>
      <c r="N136" s="50" t="str">
        <f>IF(AND('Mapa final'!$AB$98="Media",'Mapa final'!$AD$98="Menor"),CONCATENATE("R31C",'Mapa final'!$R$98),"")</f>
        <v/>
      </c>
      <c r="O136" s="111" t="str">
        <f>IF(AND('Mapa final'!$AB$99="Media",'Mapa final'!$AD$99="Menor"),CONCATENATE("R31C",'Mapa final'!$R$99),"")</f>
        <v/>
      </c>
      <c r="P136" s="49" t="str">
        <f>IF(AND('Mapa final'!$AB$97="Media",'Mapa final'!$AD$97="Moderado"),CONCATENATE("R31C",'Mapa final'!$R$97),"")</f>
        <v/>
      </c>
      <c r="Q136" s="50" t="str">
        <f>IF(AND('Mapa final'!$AB$98="Media",'Mapa final'!$AD$98="Moderado"),CONCATENATE("R31C",'Mapa final'!$R$98),"")</f>
        <v/>
      </c>
      <c r="R136" s="111" t="str">
        <f>IF(AND('Mapa final'!$AB$99="Media",'Mapa final'!$AD$99="Moderado"),CONCATENATE("R31C",'Mapa final'!$R$99),"")</f>
        <v/>
      </c>
      <c r="S136" s="105" t="str">
        <f>IF(AND('Mapa final'!$AB$97="Media",'Mapa final'!$AD$97="Mayor"),CONCATENATE("R31C",'Mapa final'!$R$97),"")</f>
        <v/>
      </c>
      <c r="T136" s="42" t="str">
        <f>IF(AND('Mapa final'!$AB$98="Media",'Mapa final'!$AD$98="Mayor"),CONCATENATE("R31C",'Mapa final'!$R$98),"")</f>
        <v/>
      </c>
      <c r="U136" s="106" t="str">
        <f>IF(AND('Mapa final'!$AB$99="Media",'Mapa final'!$AD$99="Mayor"),CONCATENATE("R31C",'Mapa final'!$R$99),"")</f>
        <v/>
      </c>
      <c r="V136" s="43" t="str">
        <f>IF(AND('Mapa final'!$AB$97="Media",'Mapa final'!$AD$97="Catastrófico"),CONCATENATE("R31C",'Mapa final'!$R$97),"")</f>
        <v/>
      </c>
      <c r="W136" s="44" t="str">
        <f>IF(AND('Mapa final'!$AB$98="Media",'Mapa final'!$AD$98="Catastrófico"),CONCATENATE("R31C",'Mapa final'!$R$98),"")</f>
        <v/>
      </c>
      <c r="X136" s="100" t="str">
        <f>IF(AND('Mapa final'!$AB$99="Media",'Mapa final'!$AD$99="Catastrófico"),CONCATENATE("R31C",'Mapa final'!$R$99),"")</f>
        <v/>
      </c>
      <c r="Y136" s="56"/>
      <c r="Z136" s="311"/>
      <c r="AA136" s="312"/>
      <c r="AB136" s="312"/>
      <c r="AC136" s="312"/>
      <c r="AD136" s="312"/>
      <c r="AE136" s="313"/>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row>
    <row r="137" spans="1:61" ht="15" customHeight="1" x14ac:dyDescent="0.35">
      <c r="A137" s="56"/>
      <c r="B137" s="300"/>
      <c r="C137" s="300"/>
      <c r="D137" s="301"/>
      <c r="E137" s="289"/>
      <c r="F137" s="290"/>
      <c r="G137" s="290"/>
      <c r="H137" s="290"/>
      <c r="I137" s="288"/>
      <c r="J137" s="49" t="e">
        <f>IF(AND('Mapa final'!#REF!="Media",'Mapa final'!#REF!="Leve"),CONCATENATE("R32C",'Mapa final'!#REF!),"")</f>
        <v>#REF!</v>
      </c>
      <c r="K137" s="50" t="e">
        <f>IF(AND('Mapa final'!#REF!="Media",'Mapa final'!#REF!="Leve"),CONCATENATE("R32C",'Mapa final'!#REF!),"")</f>
        <v>#REF!</v>
      </c>
      <c r="L137" s="111" t="e">
        <f>IF(AND('Mapa final'!#REF!="Media",'Mapa final'!#REF!="Leve"),CONCATENATE("R32C",'Mapa final'!#REF!),"")</f>
        <v>#REF!</v>
      </c>
      <c r="M137" s="49" t="e">
        <f>IF(AND('Mapa final'!#REF!="Media",'Mapa final'!#REF!="Menor"),CONCATENATE("R32C",'Mapa final'!#REF!),"")</f>
        <v>#REF!</v>
      </c>
      <c r="N137" s="50" t="e">
        <f>IF(AND('Mapa final'!#REF!="Media",'Mapa final'!#REF!="Menor"),CONCATENATE("R32C",'Mapa final'!#REF!),"")</f>
        <v>#REF!</v>
      </c>
      <c r="O137" s="111" t="e">
        <f>IF(AND('Mapa final'!#REF!="Media",'Mapa final'!#REF!="Menor"),CONCATENATE("R32C",'Mapa final'!#REF!),"")</f>
        <v>#REF!</v>
      </c>
      <c r="P137" s="49" t="e">
        <f>IF(AND('Mapa final'!#REF!="Media",'Mapa final'!#REF!="Moderado"),CONCATENATE("R32C",'Mapa final'!#REF!),"")</f>
        <v>#REF!</v>
      </c>
      <c r="Q137" s="50" t="e">
        <f>IF(AND('Mapa final'!#REF!="Media",'Mapa final'!#REF!="Moderado"),CONCATENATE("R32C",'Mapa final'!#REF!),"")</f>
        <v>#REF!</v>
      </c>
      <c r="R137" s="111" t="e">
        <f>IF(AND('Mapa final'!#REF!="Media",'Mapa final'!#REF!="Moderado"),CONCATENATE("R32C",'Mapa final'!#REF!),"")</f>
        <v>#REF!</v>
      </c>
      <c r="S137" s="105" t="e">
        <f>IF(AND('Mapa final'!#REF!="Media",'Mapa final'!#REF!="Mayor"),CONCATENATE("R32C",'Mapa final'!#REF!),"")</f>
        <v>#REF!</v>
      </c>
      <c r="T137" s="42" t="e">
        <f>IF(AND('Mapa final'!#REF!="Media",'Mapa final'!#REF!="Mayor"),CONCATENATE("R32C",'Mapa final'!#REF!),"")</f>
        <v>#REF!</v>
      </c>
      <c r="U137" s="106" t="e">
        <f>IF(AND('Mapa final'!#REF!="Media",'Mapa final'!#REF!="Mayor"),CONCATENATE("R32C",'Mapa final'!#REF!),"")</f>
        <v>#REF!</v>
      </c>
      <c r="V137" s="43" t="e">
        <f>IF(AND('Mapa final'!#REF!="Media",'Mapa final'!#REF!="Catastrófico"),CONCATENATE("R32C",'Mapa final'!#REF!),"")</f>
        <v>#REF!</v>
      </c>
      <c r="W137" s="44" t="e">
        <f>IF(AND('Mapa final'!#REF!="Media",'Mapa final'!#REF!="Catastrófico"),CONCATENATE("R32C",'Mapa final'!#REF!),"")</f>
        <v>#REF!</v>
      </c>
      <c r="X137" s="100" t="e">
        <f>IF(AND('Mapa final'!#REF!="Media",'Mapa final'!#REF!="Catastrófico"),CONCATENATE("R32C",'Mapa final'!#REF!),"")</f>
        <v>#REF!</v>
      </c>
      <c r="Y137" s="56"/>
      <c r="Z137" s="311"/>
      <c r="AA137" s="312"/>
      <c r="AB137" s="312"/>
      <c r="AC137" s="312"/>
      <c r="AD137" s="312"/>
      <c r="AE137" s="313"/>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c r="BI137" s="56"/>
    </row>
    <row r="138" spans="1:61" ht="15" customHeight="1" x14ac:dyDescent="0.35">
      <c r="A138" s="56"/>
      <c r="B138" s="300"/>
      <c r="C138" s="300"/>
      <c r="D138" s="301"/>
      <c r="E138" s="289"/>
      <c r="F138" s="290"/>
      <c r="G138" s="290"/>
      <c r="H138" s="290"/>
      <c r="I138" s="288"/>
      <c r="J138" s="49" t="str">
        <f>IF(AND('Mapa final'!$AB$100="Media",'Mapa final'!$AD$100="Leve"),CONCATENATE("R33C",'Mapa final'!$R$100),"")</f>
        <v/>
      </c>
      <c r="K138" s="50" t="str">
        <f>IF(AND('Mapa final'!$AB$101="Media",'Mapa final'!$AD$101="Leve"),CONCATENATE("R33C",'Mapa final'!$R$101),"")</f>
        <v/>
      </c>
      <c r="L138" s="111" t="str">
        <f>IF(AND('Mapa final'!$AB$102="Media",'Mapa final'!$AD$102="Leve"),CONCATENATE("R33C",'Mapa final'!$R$102),"")</f>
        <v/>
      </c>
      <c r="M138" s="49" t="str">
        <f>IF(AND('Mapa final'!$AB$100="Media",'Mapa final'!$AD$100="Menor"),CONCATENATE("R33C",'Mapa final'!$R$100),"")</f>
        <v/>
      </c>
      <c r="N138" s="50" t="str">
        <f>IF(AND('Mapa final'!$AB$101="Media",'Mapa final'!$AD$101="Menor"),CONCATENATE("R33C",'Mapa final'!$R$101),"")</f>
        <v/>
      </c>
      <c r="O138" s="111" t="str">
        <f>IF(AND('Mapa final'!$AB$102="Media",'Mapa final'!$AD$102="Menor"),CONCATENATE("R33C",'Mapa final'!$R$102),"")</f>
        <v/>
      </c>
      <c r="P138" s="49" t="str">
        <f>IF(AND('Mapa final'!$AB$100="Media",'Mapa final'!$AD$100="Moderado"),CONCATENATE("R33C",'Mapa final'!$R$100),"")</f>
        <v>R33C1</v>
      </c>
      <c r="Q138" s="50" t="str">
        <f>IF(AND('Mapa final'!$AB$101="Media",'Mapa final'!$AD$101="Moderado"),CONCATENATE("R33C",'Mapa final'!$R$101),"")</f>
        <v/>
      </c>
      <c r="R138" s="111" t="str">
        <f>IF(AND('Mapa final'!$AB$102="Media",'Mapa final'!$AD$102="Moderado"),CONCATENATE("R33C",'Mapa final'!$R$102),"")</f>
        <v/>
      </c>
      <c r="S138" s="105" t="str">
        <f>IF(AND('Mapa final'!$AB$100="Media",'Mapa final'!$AD$100="Mayor"),CONCATENATE("R33C",'Mapa final'!$R$100),"")</f>
        <v/>
      </c>
      <c r="T138" s="42" t="str">
        <f>IF(AND('Mapa final'!$AB$101="Media",'Mapa final'!$AD$101="Mayor"),CONCATENATE("R33C",'Mapa final'!$R$101),"")</f>
        <v/>
      </c>
      <c r="U138" s="106" t="str">
        <f>IF(AND('Mapa final'!$AB$102="Media",'Mapa final'!$AD$102="Mayor"),CONCATENATE("R33C",'Mapa final'!$R$102),"")</f>
        <v/>
      </c>
      <c r="V138" s="43" t="str">
        <f>IF(AND('Mapa final'!$AB$100="Media",'Mapa final'!$AD$100="Catastrófico"),CONCATENATE("R33C",'Mapa final'!$R$100),"")</f>
        <v/>
      </c>
      <c r="W138" s="44" t="str">
        <f>IF(AND('Mapa final'!$AB$101="Media",'Mapa final'!$AD$101="Catastrófico"),CONCATENATE("R33C",'Mapa final'!$R$101),"")</f>
        <v/>
      </c>
      <c r="X138" s="100" t="str">
        <f>IF(AND('Mapa final'!$AB$102="Media",'Mapa final'!$AD$102="Catastrófico"),CONCATENATE("R33C",'Mapa final'!$R$102),"")</f>
        <v/>
      </c>
      <c r="Y138" s="56"/>
      <c r="Z138" s="311"/>
      <c r="AA138" s="312"/>
      <c r="AB138" s="312"/>
      <c r="AC138" s="312"/>
      <c r="AD138" s="312"/>
      <c r="AE138" s="313"/>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6"/>
    </row>
    <row r="139" spans="1:61" ht="15" customHeight="1" x14ac:dyDescent="0.35">
      <c r="A139" s="56"/>
      <c r="B139" s="300"/>
      <c r="C139" s="300"/>
      <c r="D139" s="301"/>
      <c r="E139" s="289"/>
      <c r="F139" s="290"/>
      <c r="G139" s="290"/>
      <c r="H139" s="290"/>
      <c r="I139" s="288"/>
      <c r="J139" s="49" t="str">
        <f>IF(AND('Mapa final'!$AB$103="Media",'Mapa final'!$AD$103="Leve"),CONCATENATE("R34C",'Mapa final'!$R$103),"")</f>
        <v/>
      </c>
      <c r="K139" s="50" t="str">
        <f>IF(AND('Mapa final'!$AB$104="Media",'Mapa final'!$AD$104="Leve"),CONCATENATE("R34C",'Mapa final'!$R$104),"")</f>
        <v/>
      </c>
      <c r="L139" s="111" t="str">
        <f>IF(AND('Mapa final'!$AB$105="Media",'Mapa final'!$AD$105="Leve"),CONCATENATE("R34C",'Mapa final'!$R$105),"")</f>
        <v/>
      </c>
      <c r="M139" s="49" t="str">
        <f>IF(AND('Mapa final'!$AB$103="Media",'Mapa final'!$AD$103="Menor"),CONCATENATE("R34C",'Mapa final'!$R$103),"")</f>
        <v/>
      </c>
      <c r="N139" s="50" t="str">
        <f>IF(AND('Mapa final'!$AB$104="Media",'Mapa final'!$AD$104="Menor"),CONCATENATE("R34C",'Mapa final'!$R$104),"")</f>
        <v/>
      </c>
      <c r="O139" s="111" t="str">
        <f>IF(AND('Mapa final'!$AB$105="Media",'Mapa final'!$AD$105="Menor"),CONCATENATE("R34C",'Mapa final'!$R$105),"")</f>
        <v/>
      </c>
      <c r="P139" s="49" t="str">
        <f>IF(AND('Mapa final'!$AB$103="Media",'Mapa final'!$AD$103="Moderado"),CONCATENATE("R34C",'Mapa final'!$R$103),"")</f>
        <v>R34C1</v>
      </c>
      <c r="Q139" s="50" t="str">
        <f>IF(AND('Mapa final'!$AB$104="Media",'Mapa final'!$AD$104="Moderado"),CONCATENATE("R34C",'Mapa final'!$R$104),"")</f>
        <v/>
      </c>
      <c r="R139" s="111" t="str">
        <f>IF(AND('Mapa final'!$AB$105="Media",'Mapa final'!$AD$105="Moderado"),CONCATENATE("R34C",'Mapa final'!$R$105),"")</f>
        <v/>
      </c>
      <c r="S139" s="105" t="str">
        <f>IF(AND('Mapa final'!$AB$103="Media",'Mapa final'!$AD$103="Mayor"),CONCATENATE("R34C",'Mapa final'!$R$103),"")</f>
        <v/>
      </c>
      <c r="T139" s="42" t="str">
        <f>IF(AND('Mapa final'!$AB$104="Media",'Mapa final'!$AD$104="Mayor"),CONCATENATE("R34C",'Mapa final'!$R$104),"")</f>
        <v/>
      </c>
      <c r="U139" s="106" t="str">
        <f>IF(AND('Mapa final'!$AB$105="Media",'Mapa final'!$AD$105="Mayor"),CONCATENATE("R34C",'Mapa final'!$R$105),"")</f>
        <v/>
      </c>
      <c r="V139" s="43" t="str">
        <f>IF(AND('Mapa final'!$AB$103="Media",'Mapa final'!$AD$103="Catastrófico"),CONCATENATE("R34C",'Mapa final'!$R$103),"")</f>
        <v/>
      </c>
      <c r="W139" s="44" t="str">
        <f>IF(AND('Mapa final'!$AB$104="Media",'Mapa final'!$AD$104="Catastrófico"),CONCATENATE("R34C",'Mapa final'!$R$104),"")</f>
        <v/>
      </c>
      <c r="X139" s="100" t="str">
        <f>IF(AND('Mapa final'!$AB$105="Media",'Mapa final'!$AD$105="Catastrófico"),CONCATENATE("R34C",'Mapa final'!$R$105),"")</f>
        <v/>
      </c>
      <c r="Y139" s="56"/>
      <c r="Z139" s="311"/>
      <c r="AA139" s="312"/>
      <c r="AB139" s="312"/>
      <c r="AC139" s="312"/>
      <c r="AD139" s="312"/>
      <c r="AE139" s="313"/>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row>
    <row r="140" spans="1:61" ht="15" customHeight="1" x14ac:dyDescent="0.35">
      <c r="A140" s="56"/>
      <c r="B140" s="300"/>
      <c r="C140" s="300"/>
      <c r="D140" s="301"/>
      <c r="E140" s="289"/>
      <c r="F140" s="290"/>
      <c r="G140" s="290"/>
      <c r="H140" s="290"/>
      <c r="I140" s="288"/>
      <c r="J140" s="49" t="str">
        <f>IF(AND('Mapa final'!$AB$106="Media",'Mapa final'!$AD$106="Leve"),CONCATENATE("R35C",'Mapa final'!$R$106),"")</f>
        <v/>
      </c>
      <c r="K140" s="50" t="str">
        <f>IF(AND('Mapa final'!$AB$107="Media",'Mapa final'!$AD$107="Leve"),CONCATENATE("R35C",'Mapa final'!$R$107),"")</f>
        <v/>
      </c>
      <c r="L140" s="111" t="str">
        <f>IF(AND('Mapa final'!$AB$108="Media",'Mapa final'!$AD$108="Leve"),CONCATENATE("R35C",'Mapa final'!$R$108),"")</f>
        <v/>
      </c>
      <c r="M140" s="49" t="str">
        <f>IF(AND('Mapa final'!$AB$106="Media",'Mapa final'!$AD$106="Menor"),CONCATENATE("R35C",'Mapa final'!$R$106),"")</f>
        <v/>
      </c>
      <c r="N140" s="50" t="str">
        <f>IF(AND('Mapa final'!$AB$107="Media",'Mapa final'!$AD$107="Menor"),CONCATENATE("R35C",'Mapa final'!$R$107),"")</f>
        <v/>
      </c>
      <c r="O140" s="111" t="str">
        <f>IF(AND('Mapa final'!$AB$108="Media",'Mapa final'!$AD$108="Menor"),CONCATENATE("R35C",'Mapa final'!$R$108),"")</f>
        <v/>
      </c>
      <c r="P140" s="49" t="str">
        <f>IF(AND('Mapa final'!$AB$106="Media",'Mapa final'!$AD$106="Moderado"),CONCATENATE("R35C",'Mapa final'!$R$106),"")</f>
        <v/>
      </c>
      <c r="Q140" s="50" t="str">
        <f>IF(AND('Mapa final'!$AB$107="Media",'Mapa final'!$AD$107="Moderado"),CONCATENATE("R35C",'Mapa final'!$R$107),"")</f>
        <v/>
      </c>
      <c r="R140" s="111" t="str">
        <f>IF(AND('Mapa final'!$AB$108="Media",'Mapa final'!$AD$108="Moderado"),CONCATENATE("R35C",'Mapa final'!$R$108),"")</f>
        <v/>
      </c>
      <c r="S140" s="105" t="str">
        <f>IF(AND('Mapa final'!$AB$106="Media",'Mapa final'!$AD$106="Mayor"),CONCATENATE("R35C",'Mapa final'!$R$106),"")</f>
        <v/>
      </c>
      <c r="T140" s="42" t="str">
        <f>IF(AND('Mapa final'!$AB$107="Media",'Mapa final'!$AD$107="Mayor"),CONCATENATE("R35C",'Mapa final'!$R$107),"")</f>
        <v/>
      </c>
      <c r="U140" s="106" t="str">
        <f>IF(AND('Mapa final'!$AB$108="Media",'Mapa final'!$AD$108="Mayor"),CONCATENATE("R35C",'Mapa final'!$R$108),"")</f>
        <v/>
      </c>
      <c r="V140" s="43" t="str">
        <f>IF(AND('Mapa final'!$AB$106="Media",'Mapa final'!$AD$106="Catastrófico"),CONCATENATE("R35C",'Mapa final'!$R$106),"")</f>
        <v/>
      </c>
      <c r="W140" s="44" t="str">
        <f>IF(AND('Mapa final'!$AB$107="Media",'Mapa final'!$AD$107="Catastrófico"),CONCATENATE("R35C",'Mapa final'!$R$107),"")</f>
        <v/>
      </c>
      <c r="X140" s="100" t="str">
        <f>IF(AND('Mapa final'!$AB$108="Media",'Mapa final'!$AD$108="Catastrófico"),CONCATENATE("R35C",'Mapa final'!$R$108),"")</f>
        <v/>
      </c>
      <c r="Y140" s="56"/>
      <c r="Z140" s="311"/>
      <c r="AA140" s="312"/>
      <c r="AB140" s="312"/>
      <c r="AC140" s="312"/>
      <c r="AD140" s="312"/>
      <c r="AE140" s="313"/>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c r="BI140" s="56"/>
    </row>
    <row r="141" spans="1:61" ht="15" customHeight="1" x14ac:dyDescent="0.35">
      <c r="A141" s="56"/>
      <c r="B141" s="300"/>
      <c r="C141" s="300"/>
      <c r="D141" s="301"/>
      <c r="E141" s="289"/>
      <c r="F141" s="290"/>
      <c r="G141" s="290"/>
      <c r="H141" s="290"/>
      <c r="I141" s="288"/>
      <c r="J141" s="49" t="str">
        <f>IF(AND('Mapa final'!$AB$109="Media",'Mapa final'!$AD$109="Leve"),CONCATENATE("R36C",'Mapa final'!$R$109),"")</f>
        <v/>
      </c>
      <c r="K141" s="50" t="str">
        <f>IF(AND('Mapa final'!$AB$110="Media",'Mapa final'!$AD$110="Leve"),CONCATENATE("R36C",'Mapa final'!$R$110),"")</f>
        <v/>
      </c>
      <c r="L141" s="111" t="str">
        <f>IF(AND('Mapa final'!$AB$111="Media",'Mapa final'!$AD$111="Leve"),CONCATENATE("R36C",'Mapa final'!$R$111),"")</f>
        <v/>
      </c>
      <c r="M141" s="49" t="str">
        <f>IF(AND('Mapa final'!$AB$109="Media",'Mapa final'!$AD$109="Menor"),CONCATENATE("R36C",'Mapa final'!$R$109),"")</f>
        <v/>
      </c>
      <c r="N141" s="50" t="str">
        <f>IF(AND('Mapa final'!$AB$110="Media",'Mapa final'!$AD$110="Menor"),CONCATENATE("R36C",'Mapa final'!$R$110),"")</f>
        <v/>
      </c>
      <c r="O141" s="111" t="str">
        <f>IF(AND('Mapa final'!$AB$111="Media",'Mapa final'!$AD$111="Menor"),CONCATENATE("R36C",'Mapa final'!$R$111),"")</f>
        <v/>
      </c>
      <c r="P141" s="49" t="str">
        <f>IF(AND('Mapa final'!$AB$109="Media",'Mapa final'!$AD$109="Moderado"),CONCATENATE("R36C",'Mapa final'!$R$109),"")</f>
        <v/>
      </c>
      <c r="Q141" s="50" t="str">
        <f>IF(AND('Mapa final'!$AB$110="Media",'Mapa final'!$AD$110="Moderado"),CONCATENATE("R36C",'Mapa final'!$R$110),"")</f>
        <v/>
      </c>
      <c r="R141" s="111" t="str">
        <f>IF(AND('Mapa final'!$AB$111="Media",'Mapa final'!$AD$111="Moderado"),CONCATENATE("R36C",'Mapa final'!$R$111),"")</f>
        <v/>
      </c>
      <c r="S141" s="105" t="str">
        <f>IF(AND('Mapa final'!$AB$109="Media",'Mapa final'!$AD$109="Mayor"),CONCATENATE("R36C",'Mapa final'!$R$109),"")</f>
        <v/>
      </c>
      <c r="T141" s="42" t="str">
        <f>IF(AND('Mapa final'!$AB$110="Media",'Mapa final'!$AD$110="Mayor"),CONCATENATE("R36C",'Mapa final'!$R$110),"")</f>
        <v/>
      </c>
      <c r="U141" s="106" t="str">
        <f>IF(AND('Mapa final'!$AB$111="Media",'Mapa final'!$AD$111="Mayor"),CONCATENATE("R36C",'Mapa final'!$R$111),"")</f>
        <v/>
      </c>
      <c r="V141" s="43" t="str">
        <f>IF(AND('Mapa final'!$AB$109="Media",'Mapa final'!$AD$109="Catastrófico"),CONCATENATE("R36C",'Mapa final'!$R$109),"")</f>
        <v/>
      </c>
      <c r="W141" s="44" t="str">
        <f>IF(AND('Mapa final'!$AB$110="Media",'Mapa final'!$AD$110="Catastrófico"),CONCATENATE("R36C",'Mapa final'!$R$110),"")</f>
        <v/>
      </c>
      <c r="X141" s="100" t="str">
        <f>IF(AND('Mapa final'!$AB$111="Media",'Mapa final'!$AD$111="Catastrófico"),CONCATENATE("R36C",'Mapa final'!$R$111),"")</f>
        <v/>
      </c>
      <c r="Y141" s="56"/>
      <c r="Z141" s="311"/>
      <c r="AA141" s="312"/>
      <c r="AB141" s="312"/>
      <c r="AC141" s="312"/>
      <c r="AD141" s="312"/>
      <c r="AE141" s="313"/>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56"/>
    </row>
    <row r="142" spans="1:61" ht="15" customHeight="1" x14ac:dyDescent="0.35">
      <c r="A142" s="56"/>
      <c r="B142" s="300"/>
      <c r="C142" s="300"/>
      <c r="D142" s="301"/>
      <c r="E142" s="289"/>
      <c r="F142" s="290"/>
      <c r="G142" s="290"/>
      <c r="H142" s="290"/>
      <c r="I142" s="288"/>
      <c r="J142" s="49" t="str">
        <f>IF(AND('Mapa final'!$AB$112="Media",'Mapa final'!$AD$112="Leve"),CONCATENATE("R37C",'Mapa final'!$R$112),"")</f>
        <v/>
      </c>
      <c r="K142" s="50" t="str">
        <f>IF(AND('Mapa final'!$AB$113="Media",'Mapa final'!$AD$113="Leve"),CONCATENATE("R37C",'Mapa final'!$R$113),"")</f>
        <v/>
      </c>
      <c r="L142" s="111" t="str">
        <f>IF(AND('Mapa final'!$AB$114="Media",'Mapa final'!$AD$114="Leve"),CONCATENATE("R37C",'Mapa final'!$R$114),"")</f>
        <v/>
      </c>
      <c r="M142" s="49" t="str">
        <f>IF(AND('Mapa final'!$AB$112="Media",'Mapa final'!$AD$112="Menor"),CONCATENATE("R37C",'Mapa final'!$R$112),"")</f>
        <v/>
      </c>
      <c r="N142" s="50" t="str">
        <f>IF(AND('Mapa final'!$AB$113="Media",'Mapa final'!$AD$113="Menor"),CONCATENATE("R37C",'Mapa final'!$R$113),"")</f>
        <v/>
      </c>
      <c r="O142" s="111" t="str">
        <f>IF(AND('Mapa final'!$AB$114="Media",'Mapa final'!$AD$114="Menor"),CONCATENATE("R37C",'Mapa final'!$R$114),"")</f>
        <v/>
      </c>
      <c r="P142" s="49" t="str">
        <f>IF(AND('Mapa final'!$AB$112="Media",'Mapa final'!$AD$112="Moderado"),CONCATENATE("R37C",'Mapa final'!$R$112),"")</f>
        <v/>
      </c>
      <c r="Q142" s="50" t="str">
        <f>IF(AND('Mapa final'!$AB$113="Media",'Mapa final'!$AD$113="Moderado"),CONCATENATE("R37C",'Mapa final'!$R$113),"")</f>
        <v/>
      </c>
      <c r="R142" s="111" t="str">
        <f>IF(AND('Mapa final'!$AB$114="Media",'Mapa final'!$AD$114="Moderado"),CONCATENATE("R37C",'Mapa final'!$R$114),"")</f>
        <v/>
      </c>
      <c r="S142" s="105" t="str">
        <f>IF(AND('Mapa final'!$AB$112="Media",'Mapa final'!$AD$112="Mayor"),CONCATENATE("R37C",'Mapa final'!$R$112),"")</f>
        <v/>
      </c>
      <c r="T142" s="42" t="str">
        <f>IF(AND('Mapa final'!$AB$113="Media",'Mapa final'!$AD$113="Mayor"),CONCATENATE("R37C",'Mapa final'!$R$113),"")</f>
        <v/>
      </c>
      <c r="U142" s="106" t="str">
        <f>IF(AND('Mapa final'!$AB$114="Media",'Mapa final'!$AD$114="Mayor"),CONCATENATE("R37C",'Mapa final'!$R$114),"")</f>
        <v/>
      </c>
      <c r="V142" s="43" t="str">
        <f>IF(AND('Mapa final'!$AB$112="Media",'Mapa final'!$AD$112="Catastrófico"),CONCATENATE("R37C",'Mapa final'!$R$112),"")</f>
        <v/>
      </c>
      <c r="W142" s="44" t="str">
        <f>IF(AND('Mapa final'!$AB$113="Media",'Mapa final'!$AD$113="Catastrófico"),CONCATENATE("R37C",'Mapa final'!$R$113),"")</f>
        <v/>
      </c>
      <c r="X142" s="100" t="str">
        <f>IF(AND('Mapa final'!$AB$114="Media",'Mapa final'!$AD$114="Catastrófico"),CONCATENATE("R37C",'Mapa final'!$R$114),"")</f>
        <v/>
      </c>
      <c r="Y142" s="56"/>
      <c r="Z142" s="311"/>
      <c r="AA142" s="312"/>
      <c r="AB142" s="312"/>
      <c r="AC142" s="312"/>
      <c r="AD142" s="312"/>
      <c r="AE142" s="313"/>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56"/>
    </row>
    <row r="143" spans="1:61" ht="15" customHeight="1" x14ac:dyDescent="0.35">
      <c r="A143" s="56"/>
      <c r="B143" s="300"/>
      <c r="C143" s="300"/>
      <c r="D143" s="301"/>
      <c r="E143" s="289"/>
      <c r="F143" s="290"/>
      <c r="G143" s="290"/>
      <c r="H143" s="290"/>
      <c r="I143" s="288"/>
      <c r="J143" s="49" t="str">
        <f>IF(AND('Mapa final'!$AB$115="Media",'Mapa final'!$AD$115="Leve"),CONCATENATE("R38C",'Mapa final'!$R$115),"")</f>
        <v/>
      </c>
      <c r="K143" s="50" t="str">
        <f>IF(AND('Mapa final'!$AB$116="Media",'Mapa final'!$AD$116="Leve"),CONCATENATE("R38C",'Mapa final'!$R$116),"")</f>
        <v/>
      </c>
      <c r="L143" s="111" t="str">
        <f>IF(AND('Mapa final'!$AB$117="Media",'Mapa final'!$AD$117="Leve"),CONCATENATE("R38C",'Mapa final'!$R$117),"")</f>
        <v/>
      </c>
      <c r="M143" s="49" t="str">
        <f>IF(AND('Mapa final'!$AB$115="Media",'Mapa final'!$AD$115="Menor"),CONCATENATE("R38C",'Mapa final'!$R$115),"")</f>
        <v/>
      </c>
      <c r="N143" s="50" t="str">
        <f>IF(AND('Mapa final'!$AB$116="Media",'Mapa final'!$AD$116="Menor"),CONCATENATE("R38C",'Mapa final'!$R$116),"")</f>
        <v/>
      </c>
      <c r="O143" s="111" t="str">
        <f>IF(AND('Mapa final'!$AB$117="Media",'Mapa final'!$AD$117="Menor"),CONCATENATE("R38C",'Mapa final'!$R$117),"")</f>
        <v/>
      </c>
      <c r="P143" s="49" t="str">
        <f>IF(AND('Mapa final'!$AB$115="Media",'Mapa final'!$AD$115="Moderado"),CONCATENATE("R38C",'Mapa final'!$R$115),"")</f>
        <v/>
      </c>
      <c r="Q143" s="50" t="str">
        <f>IF(AND('Mapa final'!$AB$116="Media",'Mapa final'!$AD$116="Moderado"),CONCATENATE("R38C",'Mapa final'!$R$116),"")</f>
        <v/>
      </c>
      <c r="R143" s="111" t="str">
        <f>IF(AND('Mapa final'!$AB$117="Media",'Mapa final'!$AD$117="Moderado"),CONCATENATE("R38C",'Mapa final'!$R$117),"")</f>
        <v/>
      </c>
      <c r="S143" s="105" t="str">
        <f>IF(AND('Mapa final'!$AB$115="Media",'Mapa final'!$AD$115="Mayor"),CONCATENATE("R38C",'Mapa final'!$R$115),"")</f>
        <v/>
      </c>
      <c r="T143" s="42" t="str">
        <f>IF(AND('Mapa final'!$AB$116="Media",'Mapa final'!$AD$116="Mayor"),CONCATENATE("R38C",'Mapa final'!$R$116),"")</f>
        <v/>
      </c>
      <c r="U143" s="106" t="str">
        <f>IF(AND('Mapa final'!$AB$117="Media",'Mapa final'!$AD$117="Mayor"),CONCATENATE("R38C",'Mapa final'!$R$117),"")</f>
        <v/>
      </c>
      <c r="V143" s="43" t="str">
        <f>IF(AND('Mapa final'!$AB$115="Media",'Mapa final'!$AD$115="Catastrófico"),CONCATENATE("R38C",'Mapa final'!$R$115),"")</f>
        <v/>
      </c>
      <c r="W143" s="44" t="str">
        <f>IF(AND('Mapa final'!$AB$116="Media",'Mapa final'!$AD$116="Catastrófico"),CONCATENATE("R38C",'Mapa final'!$R$116),"")</f>
        <v/>
      </c>
      <c r="X143" s="100" t="str">
        <f>IF(AND('Mapa final'!$AB$117="Media",'Mapa final'!$AD$117="Catastrófico"),CONCATENATE("R38C",'Mapa final'!$R$117),"")</f>
        <v/>
      </c>
      <c r="Y143" s="56"/>
      <c r="Z143" s="311"/>
      <c r="AA143" s="312"/>
      <c r="AB143" s="312"/>
      <c r="AC143" s="312"/>
      <c r="AD143" s="312"/>
      <c r="AE143" s="313"/>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row>
    <row r="144" spans="1:61" ht="15" customHeight="1" x14ac:dyDescent="0.35">
      <c r="A144" s="56"/>
      <c r="B144" s="300"/>
      <c r="C144" s="300"/>
      <c r="D144" s="301"/>
      <c r="E144" s="289"/>
      <c r="F144" s="290"/>
      <c r="G144" s="290"/>
      <c r="H144" s="290"/>
      <c r="I144" s="288"/>
      <c r="J144" s="49" t="str">
        <f>IF(AND('Mapa final'!$AB$118="Media",'Mapa final'!$AD$118="Leve"),CONCATENATE("R39C",'Mapa final'!$R$118),"")</f>
        <v/>
      </c>
      <c r="K144" s="50" t="str">
        <f>IF(AND('Mapa final'!$AB$119="Media",'Mapa final'!$AD$119="Leve"),CONCATENATE("R39C",'Mapa final'!$R$119),"")</f>
        <v/>
      </c>
      <c r="L144" s="111" t="str">
        <f>IF(AND('Mapa final'!$AB$120="Media",'Mapa final'!$AD$120="Leve"),CONCATENATE("R39C",'Mapa final'!$R$120),"")</f>
        <v/>
      </c>
      <c r="M144" s="49" t="str">
        <f>IF(AND('Mapa final'!$AB$118="Media",'Mapa final'!$AD$118="Menor"),CONCATENATE("R39C",'Mapa final'!$R$118),"")</f>
        <v/>
      </c>
      <c r="N144" s="50" t="str">
        <f>IF(AND('Mapa final'!$AB$119="Media",'Mapa final'!$AD$119="Menor"),CONCATENATE("R39C",'Mapa final'!$R$119),"")</f>
        <v/>
      </c>
      <c r="O144" s="111" t="str">
        <f>IF(AND('Mapa final'!$AB$120="Media",'Mapa final'!$AD$120="Menor"),CONCATENATE("R39C",'Mapa final'!$R$120),"")</f>
        <v/>
      </c>
      <c r="P144" s="49" t="str">
        <f>IF(AND('Mapa final'!$AB$118="Media",'Mapa final'!$AD$118="Moderado"),CONCATENATE("R39C",'Mapa final'!$R$118),"")</f>
        <v>R39C1</v>
      </c>
      <c r="Q144" s="50" t="str">
        <f>IF(AND('Mapa final'!$AB$119="Media",'Mapa final'!$AD$119="Moderado"),CONCATENATE("R39C",'Mapa final'!$R$119),"")</f>
        <v/>
      </c>
      <c r="R144" s="111" t="str">
        <f>IF(AND('Mapa final'!$AB$120="Media",'Mapa final'!$AD$120="Moderado"),CONCATENATE("R39C",'Mapa final'!$R$120),"")</f>
        <v/>
      </c>
      <c r="S144" s="105" t="str">
        <f>IF(AND('Mapa final'!$AB$118="Media",'Mapa final'!$AD$118="Mayor"),CONCATENATE("R39C",'Mapa final'!$R$118),"")</f>
        <v/>
      </c>
      <c r="T144" s="42" t="str">
        <f>IF(AND('Mapa final'!$AB$119="Media",'Mapa final'!$AD$119="Mayor"),CONCATENATE("R39C",'Mapa final'!$R$119),"")</f>
        <v/>
      </c>
      <c r="U144" s="106" t="str">
        <f>IF(AND('Mapa final'!$AB$120="Media",'Mapa final'!$AD$120="Mayor"),CONCATENATE("R39C",'Mapa final'!$R$120),"")</f>
        <v/>
      </c>
      <c r="V144" s="43" t="str">
        <f>IF(AND('Mapa final'!$AB$118="Media",'Mapa final'!$AD$118="Catastrófico"),CONCATENATE("R39C",'Mapa final'!$R$118),"")</f>
        <v/>
      </c>
      <c r="W144" s="44" t="str">
        <f>IF(AND('Mapa final'!$AB$119="Media",'Mapa final'!$AD$119="Catastrófico"),CONCATENATE("R39C",'Mapa final'!$R$119),"")</f>
        <v/>
      </c>
      <c r="X144" s="100" t="str">
        <f>IF(AND('Mapa final'!$AB$120="Media",'Mapa final'!$AD$120="Catastrófico"),CONCATENATE("R39C",'Mapa final'!$R$120),"")</f>
        <v/>
      </c>
      <c r="Y144" s="56"/>
      <c r="Z144" s="311"/>
      <c r="AA144" s="312"/>
      <c r="AB144" s="312"/>
      <c r="AC144" s="312"/>
      <c r="AD144" s="312"/>
      <c r="AE144" s="313"/>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row>
    <row r="145" spans="1:61" ht="15" customHeight="1" x14ac:dyDescent="0.35">
      <c r="A145" s="56"/>
      <c r="B145" s="300"/>
      <c r="C145" s="300"/>
      <c r="D145" s="301"/>
      <c r="E145" s="289"/>
      <c r="F145" s="290"/>
      <c r="G145" s="290"/>
      <c r="H145" s="290"/>
      <c r="I145" s="288"/>
      <c r="J145" s="49" t="str">
        <f>IF(AND('Mapa final'!$AB$121="Media",'Mapa final'!$AD$121="Leve"),CONCATENATE("R40C",'Mapa final'!$R$121),"")</f>
        <v/>
      </c>
      <c r="K145" s="50" t="str">
        <f>IF(AND('Mapa final'!$AB$122="Media",'Mapa final'!$AD$122="Leve"),CONCATENATE("R40C",'Mapa final'!$R$122),"")</f>
        <v/>
      </c>
      <c r="L145" s="111" t="str">
        <f>IF(AND('Mapa final'!$AB$123="Media",'Mapa final'!$AD$123="Leve"),CONCATENATE("R40C",'Mapa final'!$R$123),"")</f>
        <v/>
      </c>
      <c r="M145" s="49" t="str">
        <f>IF(AND('Mapa final'!$AB$121="Media",'Mapa final'!$AD$121="Menor"),CONCATENATE("R40C",'Mapa final'!$R$121),"")</f>
        <v/>
      </c>
      <c r="N145" s="50" t="str">
        <f>IF(AND('Mapa final'!$AB$122="Media",'Mapa final'!$AD$122="Menor"),CONCATENATE("R40C",'Mapa final'!$R$122),"")</f>
        <v/>
      </c>
      <c r="O145" s="111" t="str">
        <f>IF(AND('Mapa final'!$AB$123="Media",'Mapa final'!$AD$123="Menor"),CONCATENATE("R40C",'Mapa final'!$R$123),"")</f>
        <v/>
      </c>
      <c r="P145" s="49" t="str">
        <f>IF(AND('Mapa final'!$AB$121="Media",'Mapa final'!$AD$121="Moderado"),CONCATENATE("R40C",'Mapa final'!$R$121),"")</f>
        <v/>
      </c>
      <c r="Q145" s="50" t="str">
        <f>IF(AND('Mapa final'!$AB$122="Media",'Mapa final'!$AD$122="Moderado"),CONCATENATE("R40C",'Mapa final'!$R$122),"")</f>
        <v/>
      </c>
      <c r="R145" s="111" t="str">
        <f>IF(AND('Mapa final'!$AB$123="Media",'Mapa final'!$AD$123="Moderado"),CONCATENATE("R40C",'Mapa final'!$R$123),"")</f>
        <v/>
      </c>
      <c r="S145" s="105" t="str">
        <f>IF(AND('Mapa final'!$AB$121="Media",'Mapa final'!$AD$121="Mayor"),CONCATENATE("R40C",'Mapa final'!$R$121),"")</f>
        <v/>
      </c>
      <c r="T145" s="42" t="str">
        <f>IF(AND('Mapa final'!$AB$122="Media",'Mapa final'!$AD$122="Mayor"),CONCATENATE("R40C",'Mapa final'!$R$122),"")</f>
        <v/>
      </c>
      <c r="U145" s="106" t="str">
        <f>IF(AND('Mapa final'!$AB$123="Media",'Mapa final'!$AD$123="Mayor"),CONCATENATE("R40C",'Mapa final'!$R$123),"")</f>
        <v/>
      </c>
      <c r="V145" s="43" t="str">
        <f>IF(AND('Mapa final'!$AB$121="Media",'Mapa final'!$AD$121="Catastrófico"),CONCATENATE("R40C",'Mapa final'!$R$121),"")</f>
        <v/>
      </c>
      <c r="W145" s="44" t="str">
        <f>IF(AND('Mapa final'!$AB$122="Media",'Mapa final'!$AD$122="Catastrófico"),CONCATENATE("R40C",'Mapa final'!$R$122),"")</f>
        <v/>
      </c>
      <c r="X145" s="100" t="str">
        <f>IF(AND('Mapa final'!$AB$123="Media",'Mapa final'!$AD$123="Catastrófico"),CONCATENATE("R40C",'Mapa final'!$R$123),"")</f>
        <v/>
      </c>
      <c r="Y145" s="56"/>
      <c r="Z145" s="311"/>
      <c r="AA145" s="312"/>
      <c r="AB145" s="312"/>
      <c r="AC145" s="312"/>
      <c r="AD145" s="312"/>
      <c r="AE145" s="313"/>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row>
    <row r="146" spans="1:61" ht="15" customHeight="1" x14ac:dyDescent="0.35">
      <c r="A146" s="56"/>
      <c r="B146" s="300"/>
      <c r="C146" s="300"/>
      <c r="D146" s="301"/>
      <c r="E146" s="289"/>
      <c r="F146" s="290"/>
      <c r="G146" s="290"/>
      <c r="H146" s="290"/>
      <c r="I146" s="288"/>
      <c r="J146" s="49" t="str">
        <f>IF(AND('Mapa final'!$AB$124="Media",'Mapa final'!$AD$124="Leve"),CONCATENATE("R41C",'Mapa final'!$R$124),"")</f>
        <v/>
      </c>
      <c r="K146" s="50" t="str">
        <f>IF(AND('Mapa final'!$AB$125="Media",'Mapa final'!$AD$125="Leve"),CONCATENATE("R41C",'Mapa final'!$R$125),"")</f>
        <v/>
      </c>
      <c r="L146" s="111" t="str">
        <f>IF(AND('Mapa final'!$AB$126="Media",'Mapa final'!$AD$126="Leve"),CONCATENATE("R41C",'Mapa final'!$R$126),"")</f>
        <v/>
      </c>
      <c r="M146" s="49" t="str">
        <f>IF(AND('Mapa final'!$AB$124="Media",'Mapa final'!$AD$124="Menor"),CONCATENATE("R41C",'Mapa final'!$R$124),"")</f>
        <v/>
      </c>
      <c r="N146" s="50" t="str">
        <f>IF(AND('Mapa final'!$AB$125="Media",'Mapa final'!$AD$125="Menor"),CONCATENATE("R41C",'Mapa final'!$R$125),"")</f>
        <v/>
      </c>
      <c r="O146" s="111" t="str">
        <f>IF(AND('Mapa final'!$AB$126="Media",'Mapa final'!$AD$126="Menor"),CONCATENATE("R41C",'Mapa final'!$R$126),"")</f>
        <v/>
      </c>
      <c r="P146" s="49" t="str">
        <f>IF(AND('Mapa final'!$AB$124="Media",'Mapa final'!$AD$124="Moderado"),CONCATENATE("R41C",'Mapa final'!$R$124),"")</f>
        <v>R41C1</v>
      </c>
      <c r="Q146" s="50" t="str">
        <f>IF(AND('Mapa final'!$AB$125="Media",'Mapa final'!$AD$125="Moderado"),CONCATENATE("R41C",'Mapa final'!$R$125),"")</f>
        <v/>
      </c>
      <c r="R146" s="111" t="str">
        <f>IF(AND('Mapa final'!$AB$126="Media",'Mapa final'!$AD$126="Moderado"),CONCATENATE("R41C",'Mapa final'!$R$126),"")</f>
        <v/>
      </c>
      <c r="S146" s="105" t="str">
        <f>IF(AND('Mapa final'!$AB$124="Media",'Mapa final'!$AD$124="Mayor"),CONCATENATE("R41C",'Mapa final'!$R$124),"")</f>
        <v/>
      </c>
      <c r="T146" s="42" t="str">
        <f>IF(AND('Mapa final'!$AB$125="Media",'Mapa final'!$AD$125="Mayor"),CONCATENATE("R41C",'Mapa final'!$R$125),"")</f>
        <v/>
      </c>
      <c r="U146" s="106" t="str">
        <f>IF(AND('Mapa final'!$AB$126="Media",'Mapa final'!$AD$126="Mayor"),CONCATENATE("R41C",'Mapa final'!$R$126),"")</f>
        <v/>
      </c>
      <c r="V146" s="43" t="str">
        <f>IF(AND('Mapa final'!$AB$124="Media",'Mapa final'!$AD$124="Catastrófico"),CONCATENATE("R41C",'Mapa final'!$R$124),"")</f>
        <v/>
      </c>
      <c r="W146" s="44" t="str">
        <f>IF(AND('Mapa final'!$AB$125="Media",'Mapa final'!$AD$125="Catastrófico"),CONCATENATE("R41C",'Mapa final'!$R$125),"")</f>
        <v/>
      </c>
      <c r="X146" s="100" t="str">
        <f>IF(AND('Mapa final'!$AB$126="Media",'Mapa final'!$AD$126="Catastrófico"),CONCATENATE("R41C",'Mapa final'!$R$126),"")</f>
        <v/>
      </c>
      <c r="Y146" s="56"/>
      <c r="Z146" s="311"/>
      <c r="AA146" s="312"/>
      <c r="AB146" s="312"/>
      <c r="AC146" s="312"/>
      <c r="AD146" s="312"/>
      <c r="AE146" s="313"/>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row>
    <row r="147" spans="1:61" ht="15" customHeight="1" x14ac:dyDescent="0.35">
      <c r="A147" s="56"/>
      <c r="B147" s="300"/>
      <c r="C147" s="300"/>
      <c r="D147" s="301"/>
      <c r="E147" s="289"/>
      <c r="F147" s="290"/>
      <c r="G147" s="290"/>
      <c r="H147" s="290"/>
      <c r="I147" s="288"/>
      <c r="J147" s="49" t="str">
        <f>IF(AND('Mapa final'!$AB$127="Media",'Mapa final'!$AD$127="Leve"),CONCATENATE("R42C",'Mapa final'!$R$127),"")</f>
        <v/>
      </c>
      <c r="K147" s="50" t="str">
        <f>IF(AND('Mapa final'!$AB$128="Media",'Mapa final'!$AD$128="Leve"),CONCATENATE("R42C",'Mapa final'!$R$128),"")</f>
        <v/>
      </c>
      <c r="L147" s="111" t="str">
        <f>IF(AND('Mapa final'!$AB$129="Media",'Mapa final'!$AD$129="Leve"),CONCATENATE("R42C",'Mapa final'!$R$129),"")</f>
        <v/>
      </c>
      <c r="M147" s="49" t="str">
        <f>IF(AND('Mapa final'!$AB$127="Media",'Mapa final'!$AD$127="Menor"),CONCATENATE("R42C",'Mapa final'!$R$127),"")</f>
        <v/>
      </c>
      <c r="N147" s="50" t="str">
        <f>IF(AND('Mapa final'!$AB$128="Media",'Mapa final'!$AD$128="Menor"),CONCATENATE("R42C",'Mapa final'!$R$128),"")</f>
        <v/>
      </c>
      <c r="O147" s="111" t="str">
        <f>IF(AND('Mapa final'!$AB$129="Media",'Mapa final'!$AD$129="Menor"),CONCATENATE("R42C",'Mapa final'!$R$129),"")</f>
        <v/>
      </c>
      <c r="P147" s="49" t="str">
        <f>IF(AND('Mapa final'!$AB$127="Media",'Mapa final'!$AD$127="Moderado"),CONCATENATE("R42C",'Mapa final'!$R$127),"")</f>
        <v/>
      </c>
      <c r="Q147" s="50" t="str">
        <f>IF(AND('Mapa final'!$AB$128="Media",'Mapa final'!$AD$128="Moderado"),CONCATENATE("R42C",'Mapa final'!$R$128),"")</f>
        <v/>
      </c>
      <c r="R147" s="111" t="str">
        <f>IF(AND('Mapa final'!$AB$129="Media",'Mapa final'!$AD$129="Moderado"),CONCATENATE("R42C",'Mapa final'!$R$129),"")</f>
        <v/>
      </c>
      <c r="S147" s="105" t="str">
        <f>IF(AND('Mapa final'!$AB$127="Media",'Mapa final'!$AD$127="Mayor"),CONCATENATE("R42C",'Mapa final'!$R$127),"")</f>
        <v/>
      </c>
      <c r="T147" s="42" t="str">
        <f>IF(AND('Mapa final'!$AB$128="Media",'Mapa final'!$AD$128="Mayor"),CONCATENATE("R42C",'Mapa final'!$R$128),"")</f>
        <v/>
      </c>
      <c r="U147" s="106" t="str">
        <f>IF(AND('Mapa final'!$AB$129="Media",'Mapa final'!$AD$129="Mayor"),CONCATENATE("R42C",'Mapa final'!$R$129),"")</f>
        <v/>
      </c>
      <c r="V147" s="43" t="str">
        <f>IF(AND('Mapa final'!$AB$127="Media",'Mapa final'!$AD$127="Catastrófico"),CONCATENATE("R42C",'Mapa final'!$R$127),"")</f>
        <v/>
      </c>
      <c r="W147" s="44" t="str">
        <f>IF(AND('Mapa final'!$AB$128="Media",'Mapa final'!$AD$128="Catastrófico"),CONCATENATE("R42C",'Mapa final'!$R$128),"")</f>
        <v/>
      </c>
      <c r="X147" s="100" t="str">
        <f>IF(AND('Mapa final'!$AB$129="Media",'Mapa final'!$AD$129="Catastrófico"),CONCATENATE("R42C",'Mapa final'!$R$129),"")</f>
        <v/>
      </c>
      <c r="Y147" s="56"/>
      <c r="Z147" s="311"/>
      <c r="AA147" s="312"/>
      <c r="AB147" s="312"/>
      <c r="AC147" s="312"/>
      <c r="AD147" s="312"/>
      <c r="AE147" s="313"/>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row>
    <row r="148" spans="1:61" ht="15" customHeight="1" x14ac:dyDescent="0.35">
      <c r="A148" s="56"/>
      <c r="B148" s="300"/>
      <c r="C148" s="300"/>
      <c r="D148" s="301"/>
      <c r="E148" s="289"/>
      <c r="F148" s="290"/>
      <c r="G148" s="290"/>
      <c r="H148" s="290"/>
      <c r="I148" s="288"/>
      <c r="J148" s="49" t="str">
        <f>IF(AND('Mapa final'!$AB$130="Media",'Mapa final'!$AD$130="Leve"),CONCATENATE("R43C",'Mapa final'!$R$130),"")</f>
        <v/>
      </c>
      <c r="K148" s="50" t="str">
        <f>IF(AND('Mapa final'!$AB$131="Media",'Mapa final'!$AD$131="Leve"),CONCATENATE("R43C",'Mapa final'!$R$131),"")</f>
        <v/>
      </c>
      <c r="L148" s="111" t="str">
        <f>IF(AND('Mapa final'!$AB$132="Media",'Mapa final'!$AD$132="Leve"),CONCATENATE("R43C",'Mapa final'!$R$132),"")</f>
        <v/>
      </c>
      <c r="M148" s="49" t="str">
        <f>IF(AND('Mapa final'!$AB$130="Media",'Mapa final'!$AD$130="Menor"),CONCATENATE("R43C",'Mapa final'!$R$130),"")</f>
        <v/>
      </c>
      <c r="N148" s="50" t="str">
        <f>IF(AND('Mapa final'!$AB$131="Media",'Mapa final'!$AD$131="Menor"),CONCATENATE("R43C",'Mapa final'!$R$131),"")</f>
        <v/>
      </c>
      <c r="O148" s="111" t="str">
        <f>IF(AND('Mapa final'!$AB$132="Media",'Mapa final'!$AD$132="Menor"),CONCATENATE("R43C",'Mapa final'!$R$132),"")</f>
        <v/>
      </c>
      <c r="P148" s="49" t="str">
        <f>IF(AND('Mapa final'!$AB$130="Media",'Mapa final'!$AD$130="Moderado"),CONCATENATE("R43C",'Mapa final'!$R$130),"")</f>
        <v/>
      </c>
      <c r="Q148" s="50" t="str">
        <f>IF(AND('Mapa final'!$AB$131="Media",'Mapa final'!$AD$131="Moderado"),CONCATENATE("R43C",'Mapa final'!$R$131),"")</f>
        <v/>
      </c>
      <c r="R148" s="111" t="str">
        <f>IF(AND('Mapa final'!$AB$132="Media",'Mapa final'!$AD$132="Moderado"),CONCATENATE("R43C",'Mapa final'!$R$132),"")</f>
        <v/>
      </c>
      <c r="S148" s="105" t="str">
        <f>IF(AND('Mapa final'!$AB$130="Media",'Mapa final'!$AD$130="Mayor"),CONCATENATE("R43C",'Mapa final'!$R$130),"")</f>
        <v>R43C1</v>
      </c>
      <c r="T148" s="42" t="str">
        <f>IF(AND('Mapa final'!$AB$131="Media",'Mapa final'!$AD$131="Mayor"),CONCATENATE("R43C",'Mapa final'!$R$131),"")</f>
        <v/>
      </c>
      <c r="U148" s="106" t="str">
        <f>IF(AND('Mapa final'!$AB$132="Media",'Mapa final'!$AD$132="Mayor"),CONCATENATE("R43C",'Mapa final'!$R$132),"")</f>
        <v/>
      </c>
      <c r="V148" s="43" t="str">
        <f>IF(AND('Mapa final'!$AB$130="Media",'Mapa final'!$AD$130="Catastrófico"),CONCATENATE("R43C",'Mapa final'!$R$130),"")</f>
        <v/>
      </c>
      <c r="W148" s="44" t="str">
        <f>IF(AND('Mapa final'!$AB$131="Media",'Mapa final'!$AD$131="Catastrófico"),CONCATENATE("R43C",'Mapa final'!$R$131),"")</f>
        <v/>
      </c>
      <c r="X148" s="100" t="str">
        <f>IF(AND('Mapa final'!$AB$132="Media",'Mapa final'!$AD$132="Catastrófico"),CONCATENATE("R43C",'Mapa final'!$R$132),"")</f>
        <v/>
      </c>
      <c r="Y148" s="56"/>
      <c r="Z148" s="311"/>
      <c r="AA148" s="312"/>
      <c r="AB148" s="312"/>
      <c r="AC148" s="312"/>
      <c r="AD148" s="312"/>
      <c r="AE148" s="313"/>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c r="BB148" s="56"/>
      <c r="BC148" s="56"/>
      <c r="BD148" s="56"/>
      <c r="BE148" s="56"/>
      <c r="BF148" s="56"/>
      <c r="BG148" s="56"/>
      <c r="BH148" s="56"/>
      <c r="BI148" s="56"/>
    </row>
    <row r="149" spans="1:61" ht="15" customHeight="1" x14ac:dyDescent="0.35">
      <c r="A149" s="56"/>
      <c r="B149" s="300"/>
      <c r="C149" s="300"/>
      <c r="D149" s="301"/>
      <c r="E149" s="289"/>
      <c r="F149" s="290"/>
      <c r="G149" s="290"/>
      <c r="H149" s="290"/>
      <c r="I149" s="288"/>
      <c r="J149" s="49" t="str">
        <f>IF(AND('Mapa final'!$AB$133="Media",'Mapa final'!$AD$133="Leve"),CONCATENATE("R44C",'Mapa final'!$R$133),"")</f>
        <v/>
      </c>
      <c r="K149" s="50" t="str">
        <f>IF(AND('Mapa final'!$AB$134="Media",'Mapa final'!$AD$134="Leve"),CONCATENATE("R44C",'Mapa final'!$R$134),"")</f>
        <v/>
      </c>
      <c r="L149" s="111" t="str">
        <f>IF(AND('Mapa final'!$AB$135="Media",'Mapa final'!$AD$135="Leve"),CONCATENATE("R44C",'Mapa final'!$R$135),"")</f>
        <v/>
      </c>
      <c r="M149" s="49" t="str">
        <f>IF(AND('Mapa final'!$AB$133="Media",'Mapa final'!$AD$133="Menor"),CONCATENATE("R44C",'Mapa final'!$R$133),"")</f>
        <v/>
      </c>
      <c r="N149" s="50" t="str">
        <f>IF(AND('Mapa final'!$AB$134="Media",'Mapa final'!$AD$134="Menor"),CONCATENATE("R44C",'Mapa final'!$R$134),"")</f>
        <v/>
      </c>
      <c r="O149" s="111" t="str">
        <f>IF(AND('Mapa final'!$AB$135="Media",'Mapa final'!$AD$135="Menor"),CONCATENATE("R44C",'Mapa final'!$R$135),"")</f>
        <v/>
      </c>
      <c r="P149" s="49" t="str">
        <f>IF(AND('Mapa final'!$AB$133="Media",'Mapa final'!$AD$133="Moderado"),CONCATENATE("R44C",'Mapa final'!$R$133),"")</f>
        <v>R44C1</v>
      </c>
      <c r="Q149" s="50" t="str">
        <f>IF(AND('Mapa final'!$AB$134="Media",'Mapa final'!$AD$134="Moderado"),CONCATENATE("R44C",'Mapa final'!$R$134),"")</f>
        <v/>
      </c>
      <c r="R149" s="111" t="str">
        <f>IF(AND('Mapa final'!$AB$135="Media",'Mapa final'!$AD$135="Moderado"),CONCATENATE("R44C",'Mapa final'!$R$135),"")</f>
        <v/>
      </c>
      <c r="S149" s="105" t="str">
        <f>IF(AND('Mapa final'!$AB$133="Media",'Mapa final'!$AD$133="Mayor"),CONCATENATE("R44C",'Mapa final'!$R$133),"")</f>
        <v/>
      </c>
      <c r="T149" s="42" t="str">
        <f>IF(AND('Mapa final'!$AB$134="Media",'Mapa final'!$AD$134="Mayor"),CONCATENATE("R44C",'Mapa final'!$R$134),"")</f>
        <v/>
      </c>
      <c r="U149" s="106" t="str">
        <f>IF(AND('Mapa final'!$AB$135="Media",'Mapa final'!$AD$135="Mayor"),CONCATENATE("R44C",'Mapa final'!$R$135),"")</f>
        <v/>
      </c>
      <c r="V149" s="43" t="str">
        <f>IF(AND('Mapa final'!$AB$133="Media",'Mapa final'!$AD$133="Catastrófico"),CONCATENATE("R44C",'Mapa final'!$R$133),"")</f>
        <v/>
      </c>
      <c r="W149" s="44" t="str">
        <f>IF(AND('Mapa final'!$AB$134="Media",'Mapa final'!$AD$134="Catastrófico"),CONCATENATE("R44C",'Mapa final'!$R$134),"")</f>
        <v/>
      </c>
      <c r="X149" s="100" t="str">
        <f>IF(AND('Mapa final'!$AB$135="Media",'Mapa final'!$AD$135="Catastrófico"),CONCATENATE("R44C",'Mapa final'!$R$135),"")</f>
        <v/>
      </c>
      <c r="Y149" s="56"/>
      <c r="Z149" s="311"/>
      <c r="AA149" s="312"/>
      <c r="AB149" s="312"/>
      <c r="AC149" s="312"/>
      <c r="AD149" s="312"/>
      <c r="AE149" s="313"/>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6"/>
      <c r="BE149" s="56"/>
      <c r="BF149" s="56"/>
      <c r="BG149" s="56"/>
      <c r="BH149" s="56"/>
      <c r="BI149" s="56"/>
    </row>
    <row r="150" spans="1:61" ht="15" customHeight="1" x14ac:dyDescent="0.35">
      <c r="A150" s="56"/>
      <c r="B150" s="300"/>
      <c r="C150" s="300"/>
      <c r="D150" s="301"/>
      <c r="E150" s="289"/>
      <c r="F150" s="290"/>
      <c r="G150" s="290"/>
      <c r="H150" s="290"/>
      <c r="I150" s="288"/>
      <c r="J150" s="49" t="str">
        <f>IF(AND('Mapa final'!$AB$136="Media",'Mapa final'!$AD$136="Leve"),CONCATENATE("R45C",'Mapa final'!$R$136),"")</f>
        <v/>
      </c>
      <c r="K150" s="50" t="str">
        <f>IF(AND('Mapa final'!$AB$137="Media",'Mapa final'!$AD$137="Leve"),CONCATENATE("R45C",'Mapa final'!$R$137),"")</f>
        <v/>
      </c>
      <c r="L150" s="111" t="str">
        <f>IF(AND('Mapa final'!$AB$138="Media",'Mapa final'!$AD$138="Leve"),CONCATENATE("R45C",'Mapa final'!$R$138),"")</f>
        <v/>
      </c>
      <c r="M150" s="49" t="str">
        <f>IF(AND('Mapa final'!$AB$136="Media",'Mapa final'!$AD$136="Menor"),CONCATENATE("R45C",'Mapa final'!$R$136),"")</f>
        <v/>
      </c>
      <c r="N150" s="50" t="str">
        <f>IF(AND('Mapa final'!$AB$137="Media",'Mapa final'!$AD$137="Menor"),CONCATENATE("R45C",'Mapa final'!$R$137),"")</f>
        <v/>
      </c>
      <c r="O150" s="111" t="str">
        <f>IF(AND('Mapa final'!$AB$138="Media",'Mapa final'!$AD$138="Menor"),CONCATENATE("R45C",'Mapa final'!$R$138),"")</f>
        <v/>
      </c>
      <c r="P150" s="49" t="str">
        <f>IF(AND('Mapa final'!$AB$136="Media",'Mapa final'!$AD$136="Moderado"),CONCATENATE("R45C",'Mapa final'!$R$136),"")</f>
        <v/>
      </c>
      <c r="Q150" s="50" t="str">
        <f>IF(AND('Mapa final'!$AB$137="Media",'Mapa final'!$AD$137="Moderado"),CONCATENATE("R45C",'Mapa final'!$R$137),"")</f>
        <v/>
      </c>
      <c r="R150" s="111" t="str">
        <f>IF(AND('Mapa final'!$AB$138="Media",'Mapa final'!$AD$138="Moderado"),CONCATENATE("R45C",'Mapa final'!$R$138),"")</f>
        <v/>
      </c>
      <c r="S150" s="105" t="str">
        <f>IF(AND('Mapa final'!$AB$136="Media",'Mapa final'!$AD$136="Mayor"),CONCATENATE("R45C",'Mapa final'!$R$136),"")</f>
        <v>R45C1</v>
      </c>
      <c r="T150" s="42" t="str">
        <f>IF(AND('Mapa final'!$AB$137="Media",'Mapa final'!$AD$137="Mayor"),CONCATENATE("R45C",'Mapa final'!$R$137),"")</f>
        <v/>
      </c>
      <c r="U150" s="106" t="str">
        <f>IF(AND('Mapa final'!$AB$138="Media",'Mapa final'!$AD$138="Mayor"),CONCATENATE("R45C",'Mapa final'!$R$138),"")</f>
        <v/>
      </c>
      <c r="V150" s="43" t="str">
        <f>IF(AND('Mapa final'!$AB$136="Media",'Mapa final'!$AD$136="Catastrófico"),CONCATENATE("R45C",'Mapa final'!$R$136),"")</f>
        <v/>
      </c>
      <c r="W150" s="44" t="str">
        <f>IF(AND('Mapa final'!$AB$137="Media",'Mapa final'!$AD$137="Catastrófico"),CONCATENATE("R45C",'Mapa final'!$R$137),"")</f>
        <v/>
      </c>
      <c r="X150" s="100" t="str">
        <f>IF(AND('Mapa final'!$AB$138="Media",'Mapa final'!$AD$138="Catastrófico"),CONCATENATE("R45C",'Mapa final'!$R$138),"")</f>
        <v/>
      </c>
      <c r="Y150" s="56"/>
      <c r="Z150" s="311"/>
      <c r="AA150" s="312"/>
      <c r="AB150" s="312"/>
      <c r="AC150" s="312"/>
      <c r="AD150" s="312"/>
      <c r="AE150" s="313"/>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row>
    <row r="151" spans="1:61" ht="15" customHeight="1" x14ac:dyDescent="0.35">
      <c r="A151" s="56"/>
      <c r="B151" s="300"/>
      <c r="C151" s="300"/>
      <c r="D151" s="301"/>
      <c r="E151" s="289"/>
      <c r="F151" s="290"/>
      <c r="G151" s="290"/>
      <c r="H151" s="290"/>
      <c r="I151" s="288"/>
      <c r="J151" s="49" t="str">
        <f>IF(AND('Mapa final'!$AB$139="Media",'Mapa final'!$AD$139="Leve"),CONCATENATE("R46C",'Mapa final'!$R$139),"")</f>
        <v/>
      </c>
      <c r="K151" s="50" t="str">
        <f>IF(AND('Mapa final'!$AB$140="Media",'Mapa final'!$AD$140="Leve"),CONCATENATE("R46C",'Mapa final'!$R$140),"")</f>
        <v/>
      </c>
      <c r="L151" s="111" t="str">
        <f>IF(AND('Mapa final'!$AB$141="Media",'Mapa final'!$AD$141="Leve"),CONCATENATE("R46C",'Mapa final'!$R$141),"")</f>
        <v/>
      </c>
      <c r="M151" s="49" t="str">
        <f>IF(AND('Mapa final'!$AB$139="Media",'Mapa final'!$AD$139="Menor"),CONCATENATE("R46C",'Mapa final'!$R$139),"")</f>
        <v/>
      </c>
      <c r="N151" s="50" t="str">
        <f>IF(AND('Mapa final'!$AB$140="Media",'Mapa final'!$AD$140="Menor"),CONCATENATE("R46C",'Mapa final'!$R$140),"")</f>
        <v/>
      </c>
      <c r="O151" s="111" t="str">
        <f>IF(AND('Mapa final'!$AB$141="Media",'Mapa final'!$AD$141="Menor"),CONCATENATE("R46C",'Mapa final'!$R$141),"")</f>
        <v/>
      </c>
      <c r="P151" s="49" t="str">
        <f>IF(AND('Mapa final'!$AB$139="Media",'Mapa final'!$AD$139="Moderado"),CONCATENATE("R46C",'Mapa final'!$R$139),"")</f>
        <v/>
      </c>
      <c r="Q151" s="50" t="str">
        <f>IF(AND('Mapa final'!$AB$140="Media",'Mapa final'!$AD$140="Moderado"),CONCATENATE("R46C",'Mapa final'!$R$140),"")</f>
        <v/>
      </c>
      <c r="R151" s="111" t="str">
        <f>IF(AND('Mapa final'!$AB$141="Media",'Mapa final'!$AD$141="Moderado"),CONCATENATE("R46C",'Mapa final'!$R$141),"")</f>
        <v/>
      </c>
      <c r="S151" s="105" t="str">
        <f>IF(AND('Mapa final'!$AB$139="Media",'Mapa final'!$AD$139="Mayor"),CONCATENATE("R46C",'Mapa final'!$R$139),"")</f>
        <v/>
      </c>
      <c r="T151" s="42" t="str">
        <f>IF(AND('Mapa final'!$AB$140="Media",'Mapa final'!$AD$140="Mayor"),CONCATENATE("R46C",'Mapa final'!$R$140),"")</f>
        <v/>
      </c>
      <c r="U151" s="106" t="str">
        <f>IF(AND('Mapa final'!$AB$141="Media",'Mapa final'!$AD$141="Mayor"),CONCATENATE("R46C",'Mapa final'!$R$141),"")</f>
        <v/>
      </c>
      <c r="V151" s="43" t="str">
        <f>IF(AND('Mapa final'!$AB$139="Media",'Mapa final'!$AD$139="Catastrófico"),CONCATENATE("R46C",'Mapa final'!$R$139),"")</f>
        <v/>
      </c>
      <c r="W151" s="44" t="str">
        <f>IF(AND('Mapa final'!$AB$140="Media",'Mapa final'!$AD$140="Catastrófico"),CONCATENATE("R46C",'Mapa final'!$R$140),"")</f>
        <v/>
      </c>
      <c r="X151" s="100" t="str">
        <f>IF(AND('Mapa final'!$AB$141="Media",'Mapa final'!$AD$141="Catastrófico"),CONCATENATE("R46C",'Mapa final'!$R$141),"")</f>
        <v/>
      </c>
      <c r="Y151" s="56"/>
      <c r="Z151" s="311"/>
      <c r="AA151" s="312"/>
      <c r="AB151" s="312"/>
      <c r="AC151" s="312"/>
      <c r="AD151" s="312"/>
      <c r="AE151" s="313"/>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c r="BG151" s="56"/>
      <c r="BH151" s="56"/>
      <c r="BI151" s="56"/>
    </row>
    <row r="152" spans="1:61" ht="15" customHeight="1" x14ac:dyDescent="0.35">
      <c r="A152" s="56"/>
      <c r="B152" s="300"/>
      <c r="C152" s="300"/>
      <c r="D152" s="301"/>
      <c r="E152" s="289"/>
      <c r="F152" s="290"/>
      <c r="G152" s="290"/>
      <c r="H152" s="290"/>
      <c r="I152" s="288"/>
      <c r="J152" s="49" t="str">
        <f>IF(AND('Mapa final'!$AB$142="Media",'Mapa final'!$AD$142="Leve"),CONCATENATE("R47C",'Mapa final'!$R$142),"")</f>
        <v/>
      </c>
      <c r="K152" s="50" t="str">
        <f>IF(AND('Mapa final'!$AB$143="Media",'Mapa final'!$AD$143="Leve"),CONCATENATE("R47C",'Mapa final'!$R$143),"")</f>
        <v/>
      </c>
      <c r="L152" s="111" t="str">
        <f>IF(AND('Mapa final'!$AB$144="Media",'Mapa final'!$AD$144="Leve"),CONCATENATE("R47C",'Mapa final'!$R$144),"")</f>
        <v/>
      </c>
      <c r="M152" s="49" t="str">
        <f>IF(AND('Mapa final'!$AB$142="Media",'Mapa final'!$AD$142="Menor"),CONCATENATE("R47C",'Mapa final'!$R$142),"")</f>
        <v/>
      </c>
      <c r="N152" s="50" t="str">
        <f>IF(AND('Mapa final'!$AB$143="Media",'Mapa final'!$AD$143="Menor"),CONCATENATE("R47C",'Mapa final'!$R$143),"")</f>
        <v/>
      </c>
      <c r="O152" s="111" t="str">
        <f>IF(AND('Mapa final'!$AB$144="Media",'Mapa final'!$AD$144="Menor"),CONCATENATE("R47C",'Mapa final'!$R$144),"")</f>
        <v/>
      </c>
      <c r="P152" s="49" t="str">
        <f>IF(AND('Mapa final'!$AB$142="Media",'Mapa final'!$AD$142="Moderado"),CONCATENATE("R47C",'Mapa final'!$R$142),"")</f>
        <v/>
      </c>
      <c r="Q152" s="50" t="str">
        <f>IF(AND('Mapa final'!$AB$143="Media",'Mapa final'!$AD$143="Moderado"),CONCATENATE("R47C",'Mapa final'!$R$143),"")</f>
        <v/>
      </c>
      <c r="R152" s="111" t="str">
        <f>IF(AND('Mapa final'!$AB$144="Media",'Mapa final'!$AD$144="Moderado"),CONCATENATE("R47C",'Mapa final'!$R$144),"")</f>
        <v/>
      </c>
      <c r="S152" s="105" t="str">
        <f>IF(AND('Mapa final'!$AB$142="Media",'Mapa final'!$AD$142="Mayor"),CONCATENATE("R47C",'Mapa final'!$R$142),"")</f>
        <v/>
      </c>
      <c r="T152" s="42" t="str">
        <f>IF(AND('Mapa final'!$AB$143="Media",'Mapa final'!$AD$143="Mayor"),CONCATENATE("R47C",'Mapa final'!$R$143),"")</f>
        <v/>
      </c>
      <c r="U152" s="106" t="str">
        <f>IF(AND('Mapa final'!$AB$144="Media",'Mapa final'!$AD$144="Mayor"),CONCATENATE("R47C",'Mapa final'!$R$144),"")</f>
        <v/>
      </c>
      <c r="V152" s="43" t="str">
        <f>IF(AND('Mapa final'!$AB$142="Media",'Mapa final'!$AD$142="Catastrófico"),CONCATENATE("R47C",'Mapa final'!$R$142),"")</f>
        <v/>
      </c>
      <c r="W152" s="44" t="str">
        <f>IF(AND('Mapa final'!$AB$143="Media",'Mapa final'!$AD$143="Catastrófico"),CONCATENATE("R47C",'Mapa final'!$R$143),"")</f>
        <v/>
      </c>
      <c r="X152" s="100" t="str">
        <f>IF(AND('Mapa final'!$AB$144="Media",'Mapa final'!$AD$144="Catastrófico"),CONCATENATE("R47C",'Mapa final'!$R$144),"")</f>
        <v/>
      </c>
      <c r="Y152" s="56"/>
      <c r="Z152" s="311"/>
      <c r="AA152" s="312"/>
      <c r="AB152" s="312"/>
      <c r="AC152" s="312"/>
      <c r="AD152" s="312"/>
      <c r="AE152" s="313"/>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c r="BI152" s="56"/>
    </row>
    <row r="153" spans="1:61" ht="15" customHeight="1" x14ac:dyDescent="0.35">
      <c r="A153" s="56"/>
      <c r="B153" s="300"/>
      <c r="C153" s="300"/>
      <c r="D153" s="301"/>
      <c r="E153" s="289"/>
      <c r="F153" s="290"/>
      <c r="G153" s="290"/>
      <c r="H153" s="290"/>
      <c r="I153" s="288"/>
      <c r="J153" s="49" t="str">
        <f>IF(AND('Mapa final'!$AB$145="Media",'Mapa final'!$AD$145="Leve"),CONCATENATE("R48C",'Mapa final'!$R$145),"")</f>
        <v/>
      </c>
      <c r="K153" s="50" t="str">
        <f>IF(AND('Mapa final'!$AB$146="Media",'Mapa final'!$AD$146="Leve"),CONCATENATE("R48C",'Mapa final'!$R$146),"")</f>
        <v/>
      </c>
      <c r="L153" s="111" t="str">
        <f>IF(AND('Mapa final'!$AB$147="Media",'Mapa final'!$AD$147="Leve"),CONCATENATE("R48C",'Mapa final'!$R$147),"")</f>
        <v/>
      </c>
      <c r="M153" s="49" t="str">
        <f>IF(AND('Mapa final'!$AB$145="Media",'Mapa final'!$AD$145="Menor"),CONCATENATE("R48C",'Mapa final'!$R$145),"")</f>
        <v/>
      </c>
      <c r="N153" s="50" t="str">
        <f>IF(AND('Mapa final'!$AB$146="Media",'Mapa final'!$AD$146="Menor"),CONCATENATE("R48C",'Mapa final'!$R$146),"")</f>
        <v/>
      </c>
      <c r="O153" s="111" t="str">
        <f>IF(AND('Mapa final'!$AB$147="Media",'Mapa final'!$AD$147="Menor"),CONCATENATE("R48C",'Mapa final'!$R$147),"")</f>
        <v/>
      </c>
      <c r="P153" s="49" t="str">
        <f>IF(AND('Mapa final'!$AB$145="Media",'Mapa final'!$AD$145="Moderado"),CONCATENATE("R48C",'Mapa final'!$R$145),"")</f>
        <v/>
      </c>
      <c r="Q153" s="50" t="str">
        <f>IF(AND('Mapa final'!$AB$146="Media",'Mapa final'!$AD$146="Moderado"),CONCATENATE("R48C",'Mapa final'!$R$146),"")</f>
        <v/>
      </c>
      <c r="R153" s="111" t="str">
        <f>IF(AND('Mapa final'!$AB$147="Media",'Mapa final'!$AD$147="Moderado"),CONCATENATE("R48C",'Mapa final'!$R$147),"")</f>
        <v/>
      </c>
      <c r="S153" s="105" t="str">
        <f>IF(AND('Mapa final'!$AB$145="Media",'Mapa final'!$AD$145="Mayor"),CONCATENATE("R48C",'Mapa final'!$R$145),"")</f>
        <v/>
      </c>
      <c r="T153" s="42" t="str">
        <f>IF(AND('Mapa final'!$AB$146="Media",'Mapa final'!$AD$146="Mayor"),CONCATENATE("R48C",'Mapa final'!$R$146),"")</f>
        <v/>
      </c>
      <c r="U153" s="106" t="str">
        <f>IF(AND('Mapa final'!$AB$147="Media",'Mapa final'!$AD$147="Mayor"),CONCATENATE("R48C",'Mapa final'!$R$147),"")</f>
        <v/>
      </c>
      <c r="V153" s="43" t="str">
        <f>IF(AND('Mapa final'!$AB$145="Media",'Mapa final'!$AD$145="Catastrófico"),CONCATENATE("R48C",'Mapa final'!$R$145),"")</f>
        <v/>
      </c>
      <c r="W153" s="44" t="str">
        <f>IF(AND('Mapa final'!$AB$146="Media",'Mapa final'!$AD$146="Catastrófico"),CONCATENATE("R48C",'Mapa final'!$R$146),"")</f>
        <v/>
      </c>
      <c r="X153" s="100" t="str">
        <f>IF(AND('Mapa final'!$AB$147="Media",'Mapa final'!$AD$147="Catastrófico"),CONCATENATE("R48C",'Mapa final'!$R$147),"")</f>
        <v/>
      </c>
      <c r="Y153" s="56"/>
      <c r="Z153" s="311"/>
      <c r="AA153" s="312"/>
      <c r="AB153" s="312"/>
      <c r="AC153" s="312"/>
      <c r="AD153" s="312"/>
      <c r="AE153" s="313"/>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6"/>
      <c r="BE153" s="56"/>
      <c r="BF153" s="56"/>
      <c r="BG153" s="56"/>
      <c r="BH153" s="56"/>
      <c r="BI153" s="56"/>
    </row>
    <row r="154" spans="1:61" ht="15" customHeight="1" x14ac:dyDescent="0.35">
      <c r="A154" s="56"/>
      <c r="B154" s="300"/>
      <c r="C154" s="300"/>
      <c r="D154" s="301"/>
      <c r="E154" s="289"/>
      <c r="F154" s="290"/>
      <c r="G154" s="290"/>
      <c r="H154" s="290"/>
      <c r="I154" s="288"/>
      <c r="J154" s="49" t="str">
        <f>IF(AND('Mapa final'!$AB$148="Media",'Mapa final'!$AD$148="Leve"),CONCATENATE("R49C",'Mapa final'!$R$148),"")</f>
        <v/>
      </c>
      <c r="K154" s="50" t="str">
        <f>IF(AND('Mapa final'!$AB$149="Media",'Mapa final'!$AD$149="Leve"),CONCATENATE("R49C",'Mapa final'!$R$149),"")</f>
        <v/>
      </c>
      <c r="L154" s="111" t="str">
        <f>IF(AND('Mapa final'!$AB$150="Media",'Mapa final'!$AD$150="Leve"),CONCATENATE("R49C",'Mapa final'!$R$150),"")</f>
        <v/>
      </c>
      <c r="M154" s="49" t="str">
        <f>IF(AND('Mapa final'!$AB$148="Media",'Mapa final'!$AD$148="Menor"),CONCATENATE("R49C",'Mapa final'!$R$148),"")</f>
        <v/>
      </c>
      <c r="N154" s="50" t="str">
        <f>IF(AND('Mapa final'!$AB$149="Media",'Mapa final'!$AD$149="Menor"),CONCATENATE("R49C",'Mapa final'!$R$149),"")</f>
        <v/>
      </c>
      <c r="O154" s="111" t="str">
        <f>IF(AND('Mapa final'!$AB$150="Media",'Mapa final'!$AD$150="Menor"),CONCATENATE("R49C",'Mapa final'!$R$150),"")</f>
        <v/>
      </c>
      <c r="P154" s="49" t="str">
        <f>IF(AND('Mapa final'!$AB$148="Media",'Mapa final'!$AD$148="Moderado"),CONCATENATE("R49C",'Mapa final'!$R$148),"")</f>
        <v/>
      </c>
      <c r="Q154" s="50" t="str">
        <f>IF(AND('Mapa final'!$AB$149="Media",'Mapa final'!$AD$149="Moderado"),CONCATENATE("R49C",'Mapa final'!$R$149),"")</f>
        <v/>
      </c>
      <c r="R154" s="111" t="str">
        <f>IF(AND('Mapa final'!$AB$150="Media",'Mapa final'!$AD$150="Moderado"),CONCATENATE("R49C",'Mapa final'!$R$150),"")</f>
        <v/>
      </c>
      <c r="S154" s="105" t="str">
        <f>IF(AND('Mapa final'!$AB$148="Media",'Mapa final'!$AD$148="Mayor"),CONCATENATE("R49C",'Mapa final'!$R$148),"")</f>
        <v/>
      </c>
      <c r="T154" s="42" t="str">
        <f>IF(AND('Mapa final'!$AB$149="Media",'Mapa final'!$AD$149="Mayor"),CONCATENATE("R49C",'Mapa final'!$R$149),"")</f>
        <v/>
      </c>
      <c r="U154" s="106" t="str">
        <f>IF(AND('Mapa final'!$AB$150="Media",'Mapa final'!$AD$150="Mayor"),CONCATENATE("R49C",'Mapa final'!$R$150),"")</f>
        <v/>
      </c>
      <c r="V154" s="43" t="str">
        <f>IF(AND('Mapa final'!$AB$148="Media",'Mapa final'!$AD$148="Catastrófico"),CONCATENATE("R49C",'Mapa final'!$R$148),"")</f>
        <v/>
      </c>
      <c r="W154" s="44" t="str">
        <f>IF(AND('Mapa final'!$AB$149="Media",'Mapa final'!$AD$149="Catastrófico"),CONCATENATE("R49C",'Mapa final'!$R$149),"")</f>
        <v/>
      </c>
      <c r="X154" s="100" t="str">
        <f>IF(AND('Mapa final'!$AB$150="Media",'Mapa final'!$AD$150="Catastrófico"),CONCATENATE("R49C",'Mapa final'!$R$150),"")</f>
        <v/>
      </c>
      <c r="Y154" s="56"/>
      <c r="Z154" s="311"/>
      <c r="AA154" s="312"/>
      <c r="AB154" s="312"/>
      <c r="AC154" s="312"/>
      <c r="AD154" s="312"/>
      <c r="AE154" s="313"/>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c r="BB154" s="56"/>
      <c r="BC154" s="56"/>
      <c r="BD154" s="56"/>
      <c r="BE154" s="56"/>
      <c r="BF154" s="56"/>
      <c r="BG154" s="56"/>
      <c r="BH154" s="56"/>
      <c r="BI154" s="56"/>
    </row>
    <row r="155" spans="1:61" ht="15" customHeight="1" thickBot="1" x14ac:dyDescent="0.4">
      <c r="A155" s="56"/>
      <c r="B155" s="300"/>
      <c r="C155" s="300"/>
      <c r="D155" s="301"/>
      <c r="E155" s="289"/>
      <c r="F155" s="290"/>
      <c r="G155" s="290"/>
      <c r="H155" s="290"/>
      <c r="I155" s="288"/>
      <c r="J155" s="51" t="str">
        <f>IF(AND('Mapa final'!$AB$151="Media",'Mapa final'!$AD$151="Leve"),CONCATENATE("R50C",'Mapa final'!$R$151),"")</f>
        <v/>
      </c>
      <c r="K155" s="52" t="str">
        <f>IF(AND('Mapa final'!$AB$152="Media",'Mapa final'!$AD$152="Leve"),CONCATENATE("R50C",'Mapa final'!$R$152),"")</f>
        <v/>
      </c>
      <c r="L155" s="112" t="str">
        <f>IF(AND('Mapa final'!$AB$153="Media",'Mapa final'!$AD$153="Leve"),CONCATENATE("R50C",'Mapa final'!$R$153),"")</f>
        <v/>
      </c>
      <c r="M155" s="51" t="str">
        <f>IF(AND('Mapa final'!$AB$151="Media",'Mapa final'!$AD$151="Menor"),CONCATENATE("R50C",'Mapa final'!$R$151),"")</f>
        <v/>
      </c>
      <c r="N155" s="52" t="str">
        <f>IF(AND('Mapa final'!$AB$152="Media",'Mapa final'!$AD$152="Menor"),CONCATENATE("R50C",'Mapa final'!$R$152),"")</f>
        <v/>
      </c>
      <c r="O155" s="112" t="str">
        <f>IF(AND('Mapa final'!$AB$153="Media",'Mapa final'!$AD$153="Menor"),CONCATENATE("R50C",'Mapa final'!$R$153),"")</f>
        <v/>
      </c>
      <c r="P155" s="51" t="str">
        <f>IF(AND('Mapa final'!$AB$151="Media",'Mapa final'!$AD$151="Moderado"),CONCATENATE("R50C",'Mapa final'!$R$151),"")</f>
        <v/>
      </c>
      <c r="Q155" s="52" t="str">
        <f>IF(AND('Mapa final'!$AB$152="Media",'Mapa final'!$AD$152="Moderado"),CONCATENATE("R50C",'Mapa final'!$R$152),"")</f>
        <v/>
      </c>
      <c r="R155" s="112" t="str">
        <f>IF(AND('Mapa final'!$AB$153="Media",'Mapa final'!$AD$153="Moderado"),CONCATENATE("R50C",'Mapa final'!$R$153),"")</f>
        <v/>
      </c>
      <c r="S155" s="107" t="str">
        <f>IF(AND('Mapa final'!$AB$151="Media",'Mapa final'!$AD$151="Mayor"),CONCATENATE("R50C",'Mapa final'!$R$151),"")</f>
        <v/>
      </c>
      <c r="T155" s="108" t="str">
        <f>IF(AND('Mapa final'!$AB$152="Media",'Mapa final'!$AD$152="Mayor"),CONCATENATE("R50C",'Mapa final'!$R$152),"")</f>
        <v/>
      </c>
      <c r="U155" s="109" t="str">
        <f>IF(AND('Mapa final'!$AB$153="Media",'Mapa final'!$AD$153="Mayor"),CONCATENATE("R50C",'Mapa final'!$R$153),"")</f>
        <v/>
      </c>
      <c r="V155" s="45" t="str">
        <f>IF(AND('Mapa final'!$AB$151="Media",'Mapa final'!$AD$151="Catastrófico"),CONCATENATE("R50C",'Mapa final'!$R$151),"")</f>
        <v/>
      </c>
      <c r="W155" s="46" t="str">
        <f>IF(AND('Mapa final'!$AB$152="Media",'Mapa final'!$AD$152="Catastrófico"),CONCATENATE("R50C",'Mapa final'!$R$152),"")</f>
        <v/>
      </c>
      <c r="X155" s="101" t="str">
        <f>IF(AND('Mapa final'!$AB$153="Media",'Mapa final'!$AD$153="Catastrófico"),CONCATENATE("R50C",'Mapa final'!$R$153),"")</f>
        <v/>
      </c>
      <c r="Y155" s="56"/>
      <c r="Z155" s="311"/>
      <c r="AA155" s="312"/>
      <c r="AB155" s="312"/>
      <c r="AC155" s="312"/>
      <c r="AD155" s="312"/>
      <c r="AE155" s="313"/>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c r="BB155" s="56"/>
      <c r="BC155" s="56"/>
      <c r="BD155" s="56"/>
      <c r="BE155" s="56"/>
      <c r="BF155" s="56"/>
      <c r="BG155" s="56"/>
      <c r="BH155" s="56"/>
      <c r="BI155" s="56"/>
    </row>
    <row r="156" spans="1:61" ht="15" customHeight="1" x14ac:dyDescent="0.35">
      <c r="A156" s="56"/>
      <c r="B156" s="300"/>
      <c r="C156" s="300"/>
      <c r="D156" s="301"/>
      <c r="E156" s="285" t="s">
        <v>105</v>
      </c>
      <c r="F156" s="286"/>
      <c r="G156" s="286"/>
      <c r="H156" s="286"/>
      <c r="I156" s="286"/>
      <c r="J156" s="113" t="str">
        <f>IF(AND('Mapa final'!$AB$7="Baja",'Mapa final'!$AD$7="Leve"),CONCATENATE("R1C",'Mapa final'!$R$7),"")</f>
        <v/>
      </c>
      <c r="K156" s="53" t="str">
        <f>IF(AND('Mapa final'!$AB$8="Baja",'Mapa final'!$AD$8="Leve"),CONCATENATE("R1C",'Mapa final'!$R$8),"")</f>
        <v/>
      </c>
      <c r="L156" s="114" t="str">
        <f>IF(AND('Mapa final'!$AB$9="Baja",'Mapa final'!$AD$9="Leve"),CONCATENATE("R1C",'Mapa final'!$R$9),"")</f>
        <v/>
      </c>
      <c r="M156" s="47" t="str">
        <f>IF(AND('Mapa final'!$AB$7="Baja",'Mapa final'!$AD$7="Menor"),CONCATENATE("R1C",'Mapa final'!$R$7),"")</f>
        <v/>
      </c>
      <c r="N156" s="48" t="str">
        <f>IF(AND('Mapa final'!$AB$8="Baja",'Mapa final'!$AD$8="Menor"),CONCATENATE("R1C",'Mapa final'!$R$8),"")</f>
        <v/>
      </c>
      <c r="O156" s="110" t="str">
        <f>IF(AND('Mapa final'!$AB$9="Baja",'Mapa final'!$AD$9="Menor"),CONCATENATE("R1C",'Mapa final'!$R$9),"")</f>
        <v/>
      </c>
      <c r="P156" s="47" t="str">
        <f>IF(AND('Mapa final'!$AB$7="Baja",'Mapa final'!$AD$7="Moderado"),CONCATENATE("R1C",'Mapa final'!$R$7),"")</f>
        <v>R1C1</v>
      </c>
      <c r="Q156" s="48" t="str">
        <f>IF(AND('Mapa final'!$AB$8="Baja",'Mapa final'!$AD$8="Moderado"),CONCATENATE("R1C",'Mapa final'!$R$8),"")</f>
        <v/>
      </c>
      <c r="R156" s="110" t="str">
        <f>IF(AND('Mapa final'!$AB$9="Baja",'Mapa final'!$AD$9="Moderado"),CONCATENATE("R1C",'Mapa final'!$R$9),"")</f>
        <v/>
      </c>
      <c r="S156" s="102" t="str">
        <f>IF(AND('Mapa final'!$AB$7="Baja",'Mapa final'!$AD$7="Mayor"),CONCATENATE("R1C",'Mapa final'!$R$7),"")</f>
        <v/>
      </c>
      <c r="T156" s="103" t="str">
        <f>IF(AND('Mapa final'!$AB$8="Baja",'Mapa final'!$AD$8="Mayor"),CONCATENATE("R1C",'Mapa final'!$R$8),"")</f>
        <v/>
      </c>
      <c r="U156" s="104" t="str">
        <f>IF(AND('Mapa final'!$AB$9="Baja",'Mapa final'!$AD$9="Mayor"),CONCATENATE("R1C",'Mapa final'!$R$9),"")</f>
        <v/>
      </c>
      <c r="V156" s="40" t="str">
        <f>IF(AND('Mapa final'!$AB$7="Baja",'Mapa final'!$AD$7="Catastrófico"),CONCATENATE("R1C",'Mapa final'!$R$7),"")</f>
        <v/>
      </c>
      <c r="W156" s="41" t="str">
        <f>IF(AND('Mapa final'!$AB$8="Baja",'Mapa final'!$AD$8="Catastrófico"),CONCATENATE("R1C",'Mapa final'!$R$8),"")</f>
        <v/>
      </c>
      <c r="X156" s="99" t="str">
        <f>IF(AND('Mapa final'!$AB$9="Baja",'Mapa final'!$AD$9="Catastrófico"),CONCATENATE("R1C",'Mapa final'!$R$9),"")</f>
        <v/>
      </c>
      <c r="Y156" s="56"/>
      <c r="Z156" s="302" t="s">
        <v>76</v>
      </c>
      <c r="AA156" s="303"/>
      <c r="AB156" s="303"/>
      <c r="AC156" s="303"/>
      <c r="AD156" s="303"/>
      <c r="AE156" s="304"/>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c r="BI156" s="56"/>
    </row>
    <row r="157" spans="1:61" ht="15" customHeight="1" x14ac:dyDescent="0.35">
      <c r="A157" s="56"/>
      <c r="B157" s="300"/>
      <c r="C157" s="300"/>
      <c r="D157" s="301"/>
      <c r="E157" s="287"/>
      <c r="F157" s="288"/>
      <c r="G157" s="288"/>
      <c r="H157" s="288"/>
      <c r="I157" s="288"/>
      <c r="J157" s="115" t="str">
        <f>IF(AND('Mapa final'!$AB$10="Baja",'Mapa final'!$AD$10="Leve"),CONCATENATE("R2C",'Mapa final'!$R$10),"")</f>
        <v/>
      </c>
      <c r="K157" s="54" t="str">
        <f>IF(AND('Mapa final'!$AB$11="Baja",'Mapa final'!$AD$11="Leve"),CONCATENATE("R2C",'Mapa final'!$R$11),"")</f>
        <v/>
      </c>
      <c r="L157" s="116" t="str">
        <f>IF(AND('Mapa final'!$AB$12="Baja",'Mapa final'!$AD$12="Leve"),CONCATENATE("R2C",'Mapa final'!$R$12),"")</f>
        <v/>
      </c>
      <c r="M157" s="49" t="str">
        <f>IF(AND('Mapa final'!$AB$10="Baja",'Mapa final'!$AD$10="Menor"),CONCATENATE("R2C",'Mapa final'!$R$10),"")</f>
        <v/>
      </c>
      <c r="N157" s="50" t="str">
        <f>IF(AND('Mapa final'!$AB$11="Baja",'Mapa final'!$AD$11="Menor"),CONCATENATE("R2C",'Mapa final'!$R$11),"")</f>
        <v/>
      </c>
      <c r="O157" s="111" t="str">
        <f>IF(AND('Mapa final'!$AB$12="Baja",'Mapa final'!$AD$12="Menor"),CONCATENATE("R2C",'Mapa final'!$R$12),"")</f>
        <v/>
      </c>
      <c r="P157" s="49" t="str">
        <f>IF(AND('Mapa final'!$AB$10="Baja",'Mapa final'!$AD$10="Moderado"),CONCATENATE("R2C",'Mapa final'!$R$10),"")</f>
        <v>R2C1</v>
      </c>
      <c r="Q157" s="50" t="str">
        <f>IF(AND('Mapa final'!$AB$11="Baja",'Mapa final'!$AD$11="Moderado"),CONCATENATE("R2C",'Mapa final'!$R$11),"")</f>
        <v/>
      </c>
      <c r="R157" s="111" t="str">
        <f>IF(AND('Mapa final'!$AB$12="Baja",'Mapa final'!$AD$12="Moderado"),CONCATENATE("R2C",'Mapa final'!$R$12),"")</f>
        <v/>
      </c>
      <c r="S157" s="105" t="str">
        <f>IF(AND('Mapa final'!$AB$10="Baja",'Mapa final'!$AD$10="Mayor"),CONCATENATE("R2C",'Mapa final'!$R$10),"")</f>
        <v/>
      </c>
      <c r="T157" s="42" t="str">
        <f>IF(AND('Mapa final'!$AB$11="Baja",'Mapa final'!$AD$11="Mayor"),CONCATENATE("R2C",'Mapa final'!$R$11),"")</f>
        <v/>
      </c>
      <c r="U157" s="106" t="str">
        <f>IF(AND('Mapa final'!$AB$12="Baja",'Mapa final'!$AD$12="Mayor"),CONCATENATE("R2C",'Mapa final'!$R$12),"")</f>
        <v/>
      </c>
      <c r="V157" s="43" t="str">
        <f>IF(AND('Mapa final'!$AB$10="Baja",'Mapa final'!$AD$10="Catastrófico"),CONCATENATE("R2C",'Mapa final'!$R$10),"")</f>
        <v/>
      </c>
      <c r="W157" s="44" t="str">
        <f>IF(AND('Mapa final'!$AB$11="Baja",'Mapa final'!$AD$11="Catastrófico"),CONCATENATE("R2C",'Mapa final'!$R$11),"")</f>
        <v/>
      </c>
      <c r="X157" s="100" t="str">
        <f>IF(AND('Mapa final'!$AB$12="Baja",'Mapa final'!$AD$12="Catastrófico"),CONCATENATE("R2C",'Mapa final'!$R$12),"")</f>
        <v/>
      </c>
      <c r="Y157" s="56"/>
      <c r="Z157" s="305"/>
      <c r="AA157" s="306"/>
      <c r="AB157" s="306"/>
      <c r="AC157" s="306"/>
      <c r="AD157" s="306"/>
      <c r="AE157" s="307"/>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6"/>
    </row>
    <row r="158" spans="1:61" ht="15" customHeight="1" x14ac:dyDescent="0.35">
      <c r="A158" s="56"/>
      <c r="B158" s="300"/>
      <c r="C158" s="300"/>
      <c r="D158" s="301"/>
      <c r="E158" s="287"/>
      <c r="F158" s="288"/>
      <c r="G158" s="288"/>
      <c r="H158" s="288"/>
      <c r="I158" s="288"/>
      <c r="J158" s="115" t="str">
        <f>IF(AND('Mapa final'!$AB$13="Baja",'Mapa final'!$AD$13="Leve"),CONCATENATE("R3C",'Mapa final'!$R$13),"")</f>
        <v/>
      </c>
      <c r="K158" s="54" t="str">
        <f>IF(AND('Mapa final'!$AB$14="Baja",'Mapa final'!$AD$14="Leve"),CONCATENATE("R3C",'Mapa final'!$R$14),"")</f>
        <v/>
      </c>
      <c r="L158" s="116" t="str">
        <f>IF(AND('Mapa final'!$AB$15="Baja",'Mapa final'!$AD$15="Leve"),CONCATENATE("R3C",'Mapa final'!$R$15),"")</f>
        <v/>
      </c>
      <c r="M158" s="49" t="str">
        <f>IF(AND('Mapa final'!$AB$13="Baja",'Mapa final'!$AD$13="Menor"),CONCATENATE("R3C",'Mapa final'!$R$13),"")</f>
        <v/>
      </c>
      <c r="N158" s="50" t="str">
        <f>IF(AND('Mapa final'!$AB$14="Baja",'Mapa final'!$AD$14="Menor"),CONCATENATE("R3C",'Mapa final'!$R$14),"")</f>
        <v/>
      </c>
      <c r="O158" s="111" t="str">
        <f>IF(AND('Mapa final'!$AB$15="Baja",'Mapa final'!$AD$15="Menor"),CONCATENATE("R3C",'Mapa final'!$R$15),"")</f>
        <v/>
      </c>
      <c r="P158" s="49" t="str">
        <f>IF(AND('Mapa final'!$AB$13="Baja",'Mapa final'!$AD$13="Moderado"),CONCATENATE("R3C",'Mapa final'!$R$13),"")</f>
        <v/>
      </c>
      <c r="Q158" s="50" t="str">
        <f>IF(AND('Mapa final'!$AB$14="Baja",'Mapa final'!$AD$14="Moderado"),CONCATENATE("R3C",'Mapa final'!$R$14),"")</f>
        <v/>
      </c>
      <c r="R158" s="111" t="str">
        <f>IF(AND('Mapa final'!$AB$15="Baja",'Mapa final'!$AD$15="Moderado"),CONCATENATE("R3C",'Mapa final'!$R$15),"")</f>
        <v/>
      </c>
      <c r="S158" s="105" t="str">
        <f>IF(AND('Mapa final'!$AB$13="Baja",'Mapa final'!$AD$13="Mayor"),CONCATENATE("R3C",'Mapa final'!$R$13),"")</f>
        <v/>
      </c>
      <c r="T158" s="42" t="str">
        <f>IF(AND('Mapa final'!$AB$14="Baja",'Mapa final'!$AD$14="Mayor"),CONCATENATE("R3C",'Mapa final'!$R$14),"")</f>
        <v/>
      </c>
      <c r="U158" s="106" t="str">
        <f>IF(AND('Mapa final'!$AB$15="Baja",'Mapa final'!$AD$15="Mayor"),CONCATENATE("R3C",'Mapa final'!$R$15),"")</f>
        <v/>
      </c>
      <c r="V158" s="43" t="str">
        <f>IF(AND('Mapa final'!$AB$13="Baja",'Mapa final'!$AD$13="Catastrófico"),CONCATENATE("R3C",'Mapa final'!$R$13),"")</f>
        <v/>
      </c>
      <c r="W158" s="44" t="str">
        <f>IF(AND('Mapa final'!$AB$14="Baja",'Mapa final'!$AD$14="Catastrófico"),CONCATENATE("R3C",'Mapa final'!$R$14),"")</f>
        <v/>
      </c>
      <c r="X158" s="100" t="str">
        <f>IF(AND('Mapa final'!$AB$15="Baja",'Mapa final'!$AD$15="Catastrófico"),CONCATENATE("R3C",'Mapa final'!$R$15),"")</f>
        <v/>
      </c>
      <c r="Y158" s="56"/>
      <c r="Z158" s="305"/>
      <c r="AA158" s="306"/>
      <c r="AB158" s="306"/>
      <c r="AC158" s="306"/>
      <c r="AD158" s="306"/>
      <c r="AE158" s="307"/>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c r="BB158" s="56"/>
      <c r="BC158" s="56"/>
      <c r="BD158" s="56"/>
      <c r="BE158" s="56"/>
      <c r="BF158" s="56"/>
      <c r="BG158" s="56"/>
      <c r="BH158" s="56"/>
      <c r="BI158" s="56"/>
    </row>
    <row r="159" spans="1:61" ht="15" customHeight="1" x14ac:dyDescent="0.35">
      <c r="A159" s="56"/>
      <c r="B159" s="300"/>
      <c r="C159" s="300"/>
      <c r="D159" s="301"/>
      <c r="E159" s="287"/>
      <c r="F159" s="288"/>
      <c r="G159" s="288"/>
      <c r="H159" s="288"/>
      <c r="I159" s="288"/>
      <c r="J159" s="115" t="e">
        <f>IF(AND('Mapa final'!#REF!="Baja",'Mapa final'!#REF!="Leve"),CONCATENATE("R4C",'Mapa final'!#REF!),"")</f>
        <v>#REF!</v>
      </c>
      <c r="K159" s="54" t="e">
        <f>IF(AND('Mapa final'!#REF!="Baja",'Mapa final'!#REF!="Leve"),CONCATENATE("R4C",'Mapa final'!#REF!),"")</f>
        <v>#REF!</v>
      </c>
      <c r="L159" s="116" t="e">
        <f>IF(AND('Mapa final'!#REF!="Baja",'Mapa final'!#REF!="Leve"),CONCATENATE("R4C",'Mapa final'!#REF!),"")</f>
        <v>#REF!</v>
      </c>
      <c r="M159" s="49" t="e">
        <f>IF(AND('Mapa final'!#REF!="Baja",'Mapa final'!#REF!="Menor"),CONCATENATE("R4C",'Mapa final'!#REF!),"")</f>
        <v>#REF!</v>
      </c>
      <c r="N159" s="50" t="e">
        <f>IF(AND('Mapa final'!#REF!="Baja",'Mapa final'!#REF!="Menor"),CONCATENATE("R4C",'Mapa final'!#REF!),"")</f>
        <v>#REF!</v>
      </c>
      <c r="O159" s="111" t="e">
        <f>IF(AND('Mapa final'!#REF!="Baja",'Mapa final'!#REF!="Menor"),CONCATENATE("R4C",'Mapa final'!#REF!),"")</f>
        <v>#REF!</v>
      </c>
      <c r="P159" s="49" t="e">
        <f>IF(AND('Mapa final'!#REF!="Baja",'Mapa final'!#REF!="Moderado"),CONCATENATE("R4C",'Mapa final'!#REF!),"")</f>
        <v>#REF!</v>
      </c>
      <c r="Q159" s="50" t="e">
        <f>IF(AND('Mapa final'!#REF!="Baja",'Mapa final'!#REF!="Moderado"),CONCATENATE("R4C",'Mapa final'!#REF!),"")</f>
        <v>#REF!</v>
      </c>
      <c r="R159" s="111" t="e">
        <f>IF(AND('Mapa final'!#REF!="Baja",'Mapa final'!#REF!="Moderado"),CONCATENATE("R4C",'Mapa final'!#REF!),"")</f>
        <v>#REF!</v>
      </c>
      <c r="S159" s="105" t="e">
        <f>IF(AND('Mapa final'!#REF!="Baja",'Mapa final'!#REF!="Mayor"),CONCATENATE("R4C",'Mapa final'!#REF!),"")</f>
        <v>#REF!</v>
      </c>
      <c r="T159" s="42" t="e">
        <f>IF(AND('Mapa final'!#REF!="Baja",'Mapa final'!#REF!="Mayor"),CONCATENATE("R4C",'Mapa final'!#REF!),"")</f>
        <v>#REF!</v>
      </c>
      <c r="U159" s="106" t="e">
        <f>IF(AND('Mapa final'!#REF!="Baja",'Mapa final'!#REF!="Mayor"),CONCATENATE("R4C",'Mapa final'!#REF!),"")</f>
        <v>#REF!</v>
      </c>
      <c r="V159" s="43" t="e">
        <f>IF(AND('Mapa final'!#REF!="Baja",'Mapa final'!#REF!="Catastrófico"),CONCATENATE("R4C",'Mapa final'!#REF!),"")</f>
        <v>#REF!</v>
      </c>
      <c r="W159" s="44" t="e">
        <f>IF(AND('Mapa final'!#REF!="Baja",'Mapa final'!#REF!="Catastrófico"),CONCATENATE("R4C",'Mapa final'!#REF!),"")</f>
        <v>#REF!</v>
      </c>
      <c r="X159" s="100" t="e">
        <f>IF(AND('Mapa final'!#REF!="Baja",'Mapa final'!#REF!="Catastrófico"),CONCATENATE("R4C",'Mapa final'!#REF!),"")</f>
        <v>#REF!</v>
      </c>
      <c r="Y159" s="56"/>
      <c r="Z159" s="305"/>
      <c r="AA159" s="306"/>
      <c r="AB159" s="306"/>
      <c r="AC159" s="306"/>
      <c r="AD159" s="306"/>
      <c r="AE159" s="307"/>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6"/>
    </row>
    <row r="160" spans="1:61" ht="15" customHeight="1" x14ac:dyDescent="0.35">
      <c r="A160" s="56"/>
      <c r="B160" s="300"/>
      <c r="C160" s="300"/>
      <c r="D160" s="301"/>
      <c r="E160" s="287"/>
      <c r="F160" s="288"/>
      <c r="G160" s="288"/>
      <c r="H160" s="288"/>
      <c r="I160" s="288"/>
      <c r="J160" s="115" t="str">
        <f>IF(AND('Mapa final'!$AB$16="Baja",'Mapa final'!$AD$16="Leve"),CONCATENATE("R5C",'Mapa final'!$R$16),"")</f>
        <v/>
      </c>
      <c r="K160" s="54" t="str">
        <f>IF(AND('Mapa final'!$AB$17="Baja",'Mapa final'!$AD$17="Leve"),CONCATENATE("R5C",'Mapa final'!$R$17),"")</f>
        <v/>
      </c>
      <c r="L160" s="116" t="str">
        <f>IF(AND('Mapa final'!$AB$18="Baja",'Mapa final'!$AD$18="Leve"),CONCATENATE("R5C",'Mapa final'!$R$18),"")</f>
        <v/>
      </c>
      <c r="M160" s="49" t="str">
        <f>IF(AND('Mapa final'!$AB$16="Baja",'Mapa final'!$AD$16="Menor"),CONCATENATE("R5C",'Mapa final'!$R$16),"")</f>
        <v/>
      </c>
      <c r="N160" s="50" t="str">
        <f>IF(AND('Mapa final'!$AB$17="Baja",'Mapa final'!$AD$17="Menor"),CONCATENATE("R5C",'Mapa final'!$R$17),"")</f>
        <v/>
      </c>
      <c r="O160" s="111" t="str">
        <f>IF(AND('Mapa final'!$AB$18="Baja",'Mapa final'!$AD$18="Menor"),CONCATENATE("R5C",'Mapa final'!$R$18),"")</f>
        <v/>
      </c>
      <c r="P160" s="49" t="str">
        <f>IF(AND('Mapa final'!$AB$16="Baja",'Mapa final'!$AD$16="Moderado"),CONCATENATE("R5C",'Mapa final'!$R$16),"")</f>
        <v/>
      </c>
      <c r="Q160" s="50" t="str">
        <f>IF(AND('Mapa final'!$AB$17="Baja",'Mapa final'!$AD$17="Moderado"),CONCATENATE("R5C",'Mapa final'!$R$17),"")</f>
        <v/>
      </c>
      <c r="R160" s="111" t="str">
        <f>IF(AND('Mapa final'!$AB$18="Baja",'Mapa final'!$AD$18="Moderado"),CONCATENATE("R5C",'Mapa final'!$R$18),"")</f>
        <v/>
      </c>
      <c r="S160" s="105" t="str">
        <f>IF(AND('Mapa final'!$AB$16="Baja",'Mapa final'!$AD$16="Mayor"),CONCATENATE("R5C",'Mapa final'!$R$16),"")</f>
        <v/>
      </c>
      <c r="T160" s="42" t="str">
        <f>IF(AND('Mapa final'!$AB$17="Baja",'Mapa final'!$AD$17="Mayor"),CONCATENATE("R5C",'Mapa final'!$R$17),"")</f>
        <v/>
      </c>
      <c r="U160" s="106" t="str">
        <f>IF(AND('Mapa final'!$AB$18="Baja",'Mapa final'!$AD$18="Mayor"),CONCATENATE("R5C",'Mapa final'!$R$18),"")</f>
        <v/>
      </c>
      <c r="V160" s="43" t="str">
        <f>IF(AND('Mapa final'!$AB$16="Baja",'Mapa final'!$AD$16="Catastrófico"),CONCATENATE("R5C",'Mapa final'!$R$16),"")</f>
        <v/>
      </c>
      <c r="W160" s="44" t="str">
        <f>IF(AND('Mapa final'!$AB$17="Baja",'Mapa final'!$AD$17="Catastrófico"),CONCATENATE("R5C",'Mapa final'!$R$17),"")</f>
        <v/>
      </c>
      <c r="X160" s="100" t="str">
        <f>IF(AND('Mapa final'!$AB$18="Baja",'Mapa final'!$AD$18="Catastrófico"),CONCATENATE("R5C",'Mapa final'!$R$18),"")</f>
        <v/>
      </c>
      <c r="Y160" s="56"/>
      <c r="Z160" s="305"/>
      <c r="AA160" s="306"/>
      <c r="AB160" s="306"/>
      <c r="AC160" s="306"/>
      <c r="AD160" s="306"/>
      <c r="AE160" s="307"/>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c r="BI160" s="56"/>
    </row>
    <row r="161" spans="1:61" ht="15" customHeight="1" x14ac:dyDescent="0.35">
      <c r="A161" s="56"/>
      <c r="B161" s="300"/>
      <c r="C161" s="300"/>
      <c r="D161" s="301"/>
      <c r="E161" s="287"/>
      <c r="F161" s="288"/>
      <c r="G161" s="288"/>
      <c r="H161" s="288"/>
      <c r="I161" s="288"/>
      <c r="J161" s="115" t="str">
        <f>IF(AND('Mapa final'!$AB$19="Baja",'Mapa final'!$AD$19="Leve"),CONCATENATE("R6C",'Mapa final'!$R$19),"")</f>
        <v/>
      </c>
      <c r="K161" s="54" t="str">
        <f>IF(AND('Mapa final'!$AB$20="Baja",'Mapa final'!$AD$20="Leve"),CONCATENATE("R6C",'Mapa final'!$R$20),"")</f>
        <v/>
      </c>
      <c r="L161" s="116" t="str">
        <f>IF(AND('Mapa final'!$AB$21="Baja",'Mapa final'!$AD$21="Leve"),CONCATENATE("R6C",'Mapa final'!$R$21),"")</f>
        <v/>
      </c>
      <c r="M161" s="49" t="str">
        <f>IF(AND('Mapa final'!$AB$19="Baja",'Mapa final'!$AD$19="Menor"),CONCATENATE("R6C",'Mapa final'!$R$19),"")</f>
        <v/>
      </c>
      <c r="N161" s="50" t="str">
        <f>IF(AND('Mapa final'!$AB$20="Baja",'Mapa final'!$AD$20="Menor"),CONCATENATE("R6C",'Mapa final'!$R$20),"")</f>
        <v/>
      </c>
      <c r="O161" s="111" t="str">
        <f>IF(AND('Mapa final'!$AB$21="Baja",'Mapa final'!$AD$21="Menor"),CONCATENATE("R6C",'Mapa final'!$R$21),"")</f>
        <v/>
      </c>
      <c r="P161" s="49" t="str">
        <f>IF(AND('Mapa final'!$AB$19="Baja",'Mapa final'!$AD$19="Moderado"),CONCATENATE("R6C",'Mapa final'!$R$19),"")</f>
        <v/>
      </c>
      <c r="Q161" s="50" t="str">
        <f>IF(AND('Mapa final'!$AB$20="Baja",'Mapa final'!$AD$20="Moderado"),CONCATENATE("R6C",'Mapa final'!$R$20),"")</f>
        <v/>
      </c>
      <c r="R161" s="111" t="str">
        <f>IF(AND('Mapa final'!$AB$21="Baja",'Mapa final'!$AD$21="Moderado"),CONCATENATE("R6C",'Mapa final'!$R$21),"")</f>
        <v/>
      </c>
      <c r="S161" s="105" t="str">
        <f>IF(AND('Mapa final'!$AB$19="Baja",'Mapa final'!$AD$19="Mayor"),CONCATENATE("R6C",'Mapa final'!$R$19),"")</f>
        <v/>
      </c>
      <c r="T161" s="42" t="str">
        <f>IF(AND('Mapa final'!$AB$20="Baja",'Mapa final'!$AD$20="Mayor"),CONCATENATE("R6C",'Mapa final'!$R$20),"")</f>
        <v/>
      </c>
      <c r="U161" s="106" t="str">
        <f>IF(AND('Mapa final'!$AB$21="Baja",'Mapa final'!$AD$21="Mayor"),CONCATENATE("R6C",'Mapa final'!$R$21),"")</f>
        <v/>
      </c>
      <c r="V161" s="43" t="str">
        <f>IF(AND('Mapa final'!$AB$19="Baja",'Mapa final'!$AD$19="Catastrófico"),CONCATENATE("R6C",'Mapa final'!$R$19),"")</f>
        <v/>
      </c>
      <c r="W161" s="44" t="str">
        <f>IF(AND('Mapa final'!$AB$20="Baja",'Mapa final'!$AD$20="Catastrófico"),CONCATENATE("R6C",'Mapa final'!$R$20),"")</f>
        <v/>
      </c>
      <c r="X161" s="100" t="str">
        <f>IF(AND('Mapa final'!$AB$21="Baja",'Mapa final'!$AD$21="Catastrófico"),CONCATENATE("R6C",'Mapa final'!$R$21),"")</f>
        <v/>
      </c>
      <c r="Y161" s="56"/>
      <c r="Z161" s="305"/>
      <c r="AA161" s="306"/>
      <c r="AB161" s="306"/>
      <c r="AC161" s="306"/>
      <c r="AD161" s="306"/>
      <c r="AE161" s="307"/>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c r="BB161" s="56"/>
      <c r="BC161" s="56"/>
      <c r="BD161" s="56"/>
      <c r="BE161" s="56"/>
      <c r="BF161" s="56"/>
      <c r="BG161" s="56"/>
      <c r="BH161" s="56"/>
      <c r="BI161" s="56"/>
    </row>
    <row r="162" spans="1:61" ht="15" customHeight="1" x14ac:dyDescent="0.35">
      <c r="A162" s="56"/>
      <c r="B162" s="300"/>
      <c r="C162" s="300"/>
      <c r="D162" s="301"/>
      <c r="E162" s="287"/>
      <c r="F162" s="288"/>
      <c r="G162" s="288"/>
      <c r="H162" s="288"/>
      <c r="I162" s="288"/>
      <c r="J162" s="115" t="str">
        <f>IF(AND('Mapa final'!$AB$22="Baja",'Mapa final'!$AD$22="Leve"),CONCATENATE("R7C",'Mapa final'!$R$22),"")</f>
        <v/>
      </c>
      <c r="K162" s="54" t="str">
        <f>IF(AND('Mapa final'!$AB$23="Baja",'Mapa final'!$AD$23="Leve"),CONCATENATE("R7C",'Mapa final'!$R$23),"")</f>
        <v/>
      </c>
      <c r="L162" s="116" t="str">
        <f>IF(AND('Mapa final'!$AB$24="Baja",'Mapa final'!$AD$24="Leve"),CONCATENATE("R7C",'Mapa final'!$R$24),"")</f>
        <v/>
      </c>
      <c r="M162" s="49" t="str">
        <f>IF(AND('Mapa final'!$AB$22="Baja",'Mapa final'!$AD$22="Menor"),CONCATENATE("R7C",'Mapa final'!$R$22),"")</f>
        <v/>
      </c>
      <c r="N162" s="50" t="str">
        <f>IF(AND('Mapa final'!$AB$23="Baja",'Mapa final'!$AD$23="Menor"),CONCATENATE("R7C",'Mapa final'!$R$23),"")</f>
        <v/>
      </c>
      <c r="O162" s="111" t="str">
        <f>IF(AND('Mapa final'!$AB$24="Baja",'Mapa final'!$AD$24="Menor"),CONCATENATE("R7C",'Mapa final'!$R$24),"")</f>
        <v/>
      </c>
      <c r="P162" s="49" t="str">
        <f>IF(AND('Mapa final'!$AB$22="Baja",'Mapa final'!$AD$22="Moderado"),CONCATENATE("R7C",'Mapa final'!$R$22),"")</f>
        <v/>
      </c>
      <c r="Q162" s="50" t="str">
        <f>IF(AND('Mapa final'!$AB$23="Baja",'Mapa final'!$AD$23="Moderado"),CONCATENATE("R7C",'Mapa final'!$R$23),"")</f>
        <v/>
      </c>
      <c r="R162" s="111" t="str">
        <f>IF(AND('Mapa final'!$AB$24="Baja",'Mapa final'!$AD$24="Moderado"),CONCATENATE("R7C",'Mapa final'!$R$24),"")</f>
        <v/>
      </c>
      <c r="S162" s="105" t="str">
        <f>IF(AND('Mapa final'!$AB$22="Baja",'Mapa final'!$AD$22="Mayor"),CONCATENATE("R7C",'Mapa final'!$R$22),"")</f>
        <v/>
      </c>
      <c r="T162" s="42" t="str">
        <f>IF(AND('Mapa final'!$AB$23="Baja",'Mapa final'!$AD$23="Mayor"),CONCATENATE("R7C",'Mapa final'!$R$23),"")</f>
        <v/>
      </c>
      <c r="U162" s="106" t="str">
        <f>IF(AND('Mapa final'!$AB$24="Baja",'Mapa final'!$AD$24="Mayor"),CONCATENATE("R7C",'Mapa final'!$R$24),"")</f>
        <v/>
      </c>
      <c r="V162" s="43" t="str">
        <f>IF(AND('Mapa final'!$AB$22="Baja",'Mapa final'!$AD$22="Catastrófico"),CONCATENATE("R7C",'Mapa final'!$R$22),"")</f>
        <v/>
      </c>
      <c r="W162" s="44" t="str">
        <f>IF(AND('Mapa final'!$AB$23="Baja",'Mapa final'!$AD$23="Catastrófico"),CONCATENATE("R7C",'Mapa final'!$R$23),"")</f>
        <v/>
      </c>
      <c r="X162" s="100" t="str">
        <f>IF(AND('Mapa final'!$AB$24="Baja",'Mapa final'!$AD$24="Catastrófico"),CONCATENATE("R7C",'Mapa final'!$R$24),"")</f>
        <v/>
      </c>
      <c r="Y162" s="56"/>
      <c r="Z162" s="305"/>
      <c r="AA162" s="306"/>
      <c r="AB162" s="306"/>
      <c r="AC162" s="306"/>
      <c r="AD162" s="306"/>
      <c r="AE162" s="307"/>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c r="BI162" s="56"/>
    </row>
    <row r="163" spans="1:61" ht="15" customHeight="1" x14ac:dyDescent="0.35">
      <c r="A163" s="56"/>
      <c r="B163" s="300"/>
      <c r="C163" s="300"/>
      <c r="D163" s="301"/>
      <c r="E163" s="287"/>
      <c r="F163" s="288"/>
      <c r="G163" s="288"/>
      <c r="H163" s="288"/>
      <c r="I163" s="288"/>
      <c r="J163" s="115" t="str">
        <f>IF(AND('Mapa final'!$AB$25="Baja",'Mapa final'!$AD$25="Leve"),CONCATENATE("R8C",'Mapa final'!$R$25),"")</f>
        <v/>
      </c>
      <c r="K163" s="54" t="str">
        <f>IF(AND('Mapa final'!$AB$26="Baja",'Mapa final'!$AD$26="Leve"),CONCATENATE("R8C",'Mapa final'!$R$26),"")</f>
        <v/>
      </c>
      <c r="L163" s="116" t="str">
        <f>IF(AND('Mapa final'!$AB$27="Baja",'Mapa final'!$AD$27="Leve"),CONCATENATE("R8C",'Mapa final'!$R$27),"")</f>
        <v/>
      </c>
      <c r="M163" s="49" t="str">
        <f>IF(AND('Mapa final'!$AB$25="Baja",'Mapa final'!$AD$25="Menor"),CONCATENATE("R8C",'Mapa final'!$R$25),"")</f>
        <v/>
      </c>
      <c r="N163" s="50" t="str">
        <f>IF(AND('Mapa final'!$AB$26="Baja",'Mapa final'!$AD$26="Menor"),CONCATENATE("R8C",'Mapa final'!$R$26),"")</f>
        <v/>
      </c>
      <c r="O163" s="111" t="str">
        <f>IF(AND('Mapa final'!$AB$27="Baja",'Mapa final'!$AD$27="Menor"),CONCATENATE("R8C",'Mapa final'!$R$27),"")</f>
        <v/>
      </c>
      <c r="P163" s="49" t="str">
        <f>IF(AND('Mapa final'!$AB$25="Baja",'Mapa final'!$AD$25="Moderado"),CONCATENATE("R8C",'Mapa final'!$R$25),"")</f>
        <v/>
      </c>
      <c r="Q163" s="50" t="str">
        <f>IF(AND('Mapa final'!$AB$26="Baja",'Mapa final'!$AD$26="Moderado"),CONCATENATE("R8C",'Mapa final'!$R$26),"")</f>
        <v/>
      </c>
      <c r="R163" s="111" t="str">
        <f>IF(AND('Mapa final'!$AB$27="Baja",'Mapa final'!$AD$27="Moderado"),CONCATENATE("R8C",'Mapa final'!$R$27),"")</f>
        <v/>
      </c>
      <c r="S163" s="105" t="str">
        <f>IF(AND('Mapa final'!$AB$25="Baja",'Mapa final'!$AD$25="Mayor"),CONCATENATE("R8C",'Mapa final'!$R$25),"")</f>
        <v/>
      </c>
      <c r="T163" s="42" t="str">
        <f>IF(AND('Mapa final'!$AB$26="Baja",'Mapa final'!$AD$26="Mayor"),CONCATENATE("R8C",'Mapa final'!$R$26),"")</f>
        <v/>
      </c>
      <c r="U163" s="106" t="str">
        <f>IF(AND('Mapa final'!$AB$27="Baja",'Mapa final'!$AD$27="Mayor"),CONCATENATE("R8C",'Mapa final'!$R$27),"")</f>
        <v/>
      </c>
      <c r="V163" s="43" t="str">
        <f>IF(AND('Mapa final'!$AB$25="Baja",'Mapa final'!$AD$25="Catastrófico"),CONCATENATE("R8C",'Mapa final'!$R$25),"")</f>
        <v/>
      </c>
      <c r="W163" s="44" t="str">
        <f>IF(AND('Mapa final'!$AB$26="Baja",'Mapa final'!$AD$26="Catastrófico"),CONCATENATE("R8C",'Mapa final'!$R$26),"")</f>
        <v/>
      </c>
      <c r="X163" s="100" t="str">
        <f>IF(AND('Mapa final'!$AB$27="Baja",'Mapa final'!$AD$27="Catastrófico"),CONCATENATE("R8C",'Mapa final'!$R$27),"")</f>
        <v/>
      </c>
      <c r="Y163" s="56"/>
      <c r="Z163" s="305"/>
      <c r="AA163" s="306"/>
      <c r="AB163" s="306"/>
      <c r="AC163" s="306"/>
      <c r="AD163" s="306"/>
      <c r="AE163" s="307"/>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6"/>
      <c r="BE163" s="56"/>
      <c r="BF163" s="56"/>
      <c r="BG163" s="56"/>
      <c r="BH163" s="56"/>
      <c r="BI163" s="56"/>
    </row>
    <row r="164" spans="1:61" ht="15" customHeight="1" x14ac:dyDescent="0.35">
      <c r="A164" s="56"/>
      <c r="B164" s="300"/>
      <c r="C164" s="300"/>
      <c r="D164" s="301"/>
      <c r="E164" s="287"/>
      <c r="F164" s="288"/>
      <c r="G164" s="288"/>
      <c r="H164" s="288"/>
      <c r="I164" s="288"/>
      <c r="J164" s="115" t="str">
        <f>IF(AND('Mapa final'!$AB$28="Baja",'Mapa final'!$AD$28="Leve"),CONCATENATE("R9C",'Mapa final'!$R$28),"")</f>
        <v/>
      </c>
      <c r="K164" s="54" t="str">
        <f>IF(AND('Mapa final'!$AB$29="Baja",'Mapa final'!$AD$29="Leve"),CONCATENATE("R9C",'Mapa final'!$R$29),"")</f>
        <v/>
      </c>
      <c r="L164" s="116" t="str">
        <f>IF(AND('Mapa final'!$AB$30="Baja",'Mapa final'!$AD$30="Leve"),CONCATENATE("R9C",'Mapa final'!$R$30),"")</f>
        <v/>
      </c>
      <c r="M164" s="49" t="str">
        <f>IF(AND('Mapa final'!$AB$28="Baja",'Mapa final'!$AD$28="Menor"),CONCATENATE("R9C",'Mapa final'!$R$28),"")</f>
        <v/>
      </c>
      <c r="N164" s="50" t="str">
        <f>IF(AND('Mapa final'!$AB$29="Baja",'Mapa final'!$AD$29="Menor"),CONCATENATE("R9C",'Mapa final'!$R$29),"")</f>
        <v/>
      </c>
      <c r="O164" s="111" t="str">
        <f>IF(AND('Mapa final'!$AB$30="Baja",'Mapa final'!$AD$30="Menor"),CONCATENATE("R9C",'Mapa final'!$R$30),"")</f>
        <v/>
      </c>
      <c r="P164" s="49" t="str">
        <f>IF(AND('Mapa final'!$AB$28="Baja",'Mapa final'!$AD$28="Moderado"),CONCATENATE("R9C",'Mapa final'!$R$28),"")</f>
        <v/>
      </c>
      <c r="Q164" s="50" t="str">
        <f>IF(AND('Mapa final'!$AB$29="Baja",'Mapa final'!$AD$29="Moderado"),CONCATENATE("R9C",'Mapa final'!$R$29),"")</f>
        <v/>
      </c>
      <c r="R164" s="111" t="str">
        <f>IF(AND('Mapa final'!$AB$30="Baja",'Mapa final'!$AD$30="Moderado"),CONCATENATE("R9C",'Mapa final'!$R$30),"")</f>
        <v/>
      </c>
      <c r="S164" s="105" t="str">
        <f>IF(AND('Mapa final'!$AB$28="Baja",'Mapa final'!$AD$28="Mayor"),CONCATENATE("R9C",'Mapa final'!$R$28),"")</f>
        <v/>
      </c>
      <c r="T164" s="42" t="str">
        <f>IF(AND('Mapa final'!$AB$29="Baja",'Mapa final'!$AD$29="Mayor"),CONCATENATE("R9C",'Mapa final'!$R$29),"")</f>
        <v>R9C2</v>
      </c>
      <c r="U164" s="106" t="str">
        <f>IF(AND('Mapa final'!$AB$30="Baja",'Mapa final'!$AD$30="Mayor"),CONCATENATE("R9C",'Mapa final'!$R$30),"")</f>
        <v/>
      </c>
      <c r="V164" s="43" t="str">
        <f>IF(AND('Mapa final'!$AB$28="Baja",'Mapa final'!$AD$28="Catastrófico"),CONCATENATE("R9C",'Mapa final'!$R$28),"")</f>
        <v/>
      </c>
      <c r="W164" s="44" t="str">
        <f>IF(AND('Mapa final'!$AB$29="Baja",'Mapa final'!$AD$29="Catastrófico"),CONCATENATE("R9C",'Mapa final'!$R$29),"")</f>
        <v/>
      </c>
      <c r="X164" s="100" t="str">
        <f>IF(AND('Mapa final'!$AB$30="Baja",'Mapa final'!$AD$30="Catastrófico"),CONCATENATE("R9C",'Mapa final'!$R$30),"")</f>
        <v/>
      </c>
      <c r="Y164" s="56"/>
      <c r="Z164" s="305"/>
      <c r="AA164" s="306"/>
      <c r="AB164" s="306"/>
      <c r="AC164" s="306"/>
      <c r="AD164" s="306"/>
      <c r="AE164" s="307"/>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c r="BF164" s="56"/>
      <c r="BG164" s="56"/>
      <c r="BH164" s="56"/>
      <c r="BI164" s="56"/>
    </row>
    <row r="165" spans="1:61" ht="15" customHeight="1" x14ac:dyDescent="0.35">
      <c r="A165" s="56"/>
      <c r="B165" s="300"/>
      <c r="C165" s="300"/>
      <c r="D165" s="301"/>
      <c r="E165" s="287"/>
      <c r="F165" s="288"/>
      <c r="G165" s="288"/>
      <c r="H165" s="288"/>
      <c r="I165" s="288"/>
      <c r="J165" s="115" t="str">
        <f>IF(AND('Mapa final'!$AB$31="Baja",'Mapa final'!$AD$31="Leve"),CONCATENATE("R10C",'Mapa final'!$R$31),"")</f>
        <v/>
      </c>
      <c r="K165" s="54" t="str">
        <f>IF(AND('Mapa final'!$AB$32="Baja",'Mapa final'!$AD$32="Leve"),CONCATENATE("R10C",'Mapa final'!$R$32),"")</f>
        <v/>
      </c>
      <c r="L165" s="116" t="str">
        <f>IF(AND('Mapa final'!$AB$33="Baja",'Mapa final'!$AD$33="Leve"),CONCATENATE("R10C",'Mapa final'!$R$33),"")</f>
        <v/>
      </c>
      <c r="M165" s="49" t="str">
        <f>IF(AND('Mapa final'!$AB$31="Baja",'Mapa final'!$AD$31="Menor"),CONCATENATE("R10C",'Mapa final'!$R$31),"")</f>
        <v/>
      </c>
      <c r="N165" s="50" t="str">
        <f>IF(AND('Mapa final'!$AB$32="Baja",'Mapa final'!$AD$32="Menor"),CONCATENATE("R10C",'Mapa final'!$R$32),"")</f>
        <v/>
      </c>
      <c r="O165" s="111" t="str">
        <f>IF(AND('Mapa final'!$AB$33="Baja",'Mapa final'!$AD$33="Menor"),CONCATENATE("R10C",'Mapa final'!$R$33),"")</f>
        <v/>
      </c>
      <c r="P165" s="49" t="str">
        <f>IF(AND('Mapa final'!$AB$31="Baja",'Mapa final'!$AD$31="Moderado"),CONCATENATE("R10C",'Mapa final'!$R$31),"")</f>
        <v/>
      </c>
      <c r="Q165" s="50" t="str">
        <f>IF(AND('Mapa final'!$AB$32="Baja",'Mapa final'!$AD$32="Moderado"),CONCATENATE("R10C",'Mapa final'!$R$32),"")</f>
        <v>R10C2</v>
      </c>
      <c r="R165" s="111" t="str">
        <f>IF(AND('Mapa final'!$AB$33="Baja",'Mapa final'!$AD$33="Moderado"),CONCATENATE("R10C",'Mapa final'!$R$33),"")</f>
        <v>R10C3</v>
      </c>
      <c r="S165" s="105" t="str">
        <f>IF(AND('Mapa final'!$AB$31="Baja",'Mapa final'!$AD$31="Mayor"),CONCATENATE("R10C",'Mapa final'!$R$31),"")</f>
        <v/>
      </c>
      <c r="T165" s="42" t="str">
        <f>IF(AND('Mapa final'!$AB$32="Baja",'Mapa final'!$AD$32="Mayor"),CONCATENATE("R10C",'Mapa final'!$R$32),"")</f>
        <v/>
      </c>
      <c r="U165" s="106" t="str">
        <f>IF(AND('Mapa final'!$AB$33="Baja",'Mapa final'!$AD$33="Mayor"),CONCATENATE("R10C",'Mapa final'!$R$33),"")</f>
        <v/>
      </c>
      <c r="V165" s="43" t="str">
        <f>IF(AND('Mapa final'!$AB$31="Baja",'Mapa final'!$AD$31="Catastrófico"),CONCATENATE("R10C",'Mapa final'!$R$31),"")</f>
        <v/>
      </c>
      <c r="W165" s="44" t="str">
        <f>IF(AND('Mapa final'!$AB$32="Baja",'Mapa final'!$AD$32="Catastrófico"),CONCATENATE("R10C",'Mapa final'!$R$32),"")</f>
        <v/>
      </c>
      <c r="X165" s="100" t="str">
        <f>IF(AND('Mapa final'!$AB$33="Baja",'Mapa final'!$AD$33="Catastrófico"),CONCATENATE("R10C",'Mapa final'!$R$33),"")</f>
        <v/>
      </c>
      <c r="Y165" s="56"/>
      <c r="Z165" s="305"/>
      <c r="AA165" s="306"/>
      <c r="AB165" s="306"/>
      <c r="AC165" s="306"/>
      <c r="AD165" s="306"/>
      <c r="AE165" s="307"/>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6"/>
      <c r="BE165" s="56"/>
      <c r="BF165" s="56"/>
      <c r="BG165" s="56"/>
      <c r="BH165" s="56"/>
      <c r="BI165" s="56"/>
    </row>
    <row r="166" spans="1:61" ht="15" customHeight="1" x14ac:dyDescent="0.35">
      <c r="A166" s="56"/>
      <c r="B166" s="300"/>
      <c r="C166" s="300"/>
      <c r="D166" s="301"/>
      <c r="E166" s="287"/>
      <c r="F166" s="288"/>
      <c r="G166" s="288"/>
      <c r="H166" s="288"/>
      <c r="I166" s="288"/>
      <c r="J166" s="115" t="str">
        <f>IF(AND('Mapa final'!$AB$34="Baja",'Mapa final'!$AD$34="Leve"),CONCATENATE("R11C",'Mapa final'!$R$34),"")</f>
        <v/>
      </c>
      <c r="K166" s="54" t="str">
        <f>IF(AND('Mapa final'!$AB$35="Baja",'Mapa final'!$AD$35="Leve"),CONCATENATE("R11C",'Mapa final'!$R$35),"")</f>
        <v/>
      </c>
      <c r="L166" s="116" t="str">
        <f>IF(AND('Mapa final'!$AB$36="Baja",'Mapa final'!$AD$36="Leve"),CONCATENATE("R11C",'Mapa final'!$R$36),"")</f>
        <v/>
      </c>
      <c r="M166" s="49" t="str">
        <f>IF(AND('Mapa final'!$AB$34="Baja",'Mapa final'!$AD$34="Menor"),CONCATENATE("R11C",'Mapa final'!$R$34),"")</f>
        <v/>
      </c>
      <c r="N166" s="50" t="str">
        <f>IF(AND('Mapa final'!$AB$35="Baja",'Mapa final'!$AD$35="Menor"),CONCATENATE("R11C",'Mapa final'!$R$35),"")</f>
        <v/>
      </c>
      <c r="O166" s="111" t="str">
        <f>IF(AND('Mapa final'!$AB$36="Baja",'Mapa final'!$AD$36="Menor"),CONCATENATE("R11C",'Mapa final'!$R$36),"")</f>
        <v/>
      </c>
      <c r="P166" s="49" t="str">
        <f>IF(AND('Mapa final'!$AB$34="Baja",'Mapa final'!$AD$34="Moderado"),CONCATENATE("R11C",'Mapa final'!$R$34),"")</f>
        <v/>
      </c>
      <c r="Q166" s="50" t="str">
        <f>IF(AND('Mapa final'!$AB$35="Baja",'Mapa final'!$AD$35="Moderado"),CONCATENATE("R11C",'Mapa final'!$R$35),"")</f>
        <v/>
      </c>
      <c r="R166" s="111" t="str">
        <f>IF(AND('Mapa final'!$AB$36="Baja",'Mapa final'!$AD$36="Moderado"),CONCATENATE("R11C",'Mapa final'!$R$36),"")</f>
        <v/>
      </c>
      <c r="S166" s="105" t="str">
        <f>IF(AND('Mapa final'!$AB$34="Baja",'Mapa final'!$AD$34="Mayor"),CONCATENATE("R11C",'Mapa final'!$R$34),"")</f>
        <v>R11C1</v>
      </c>
      <c r="T166" s="42" t="str">
        <f>IF(AND('Mapa final'!$AB$35="Baja",'Mapa final'!$AD$35="Mayor"),CONCATENATE("R11C",'Mapa final'!$R$35),"")</f>
        <v/>
      </c>
      <c r="U166" s="106" t="str">
        <f>IF(AND('Mapa final'!$AB$36="Baja",'Mapa final'!$AD$36="Mayor"),CONCATENATE("R11C",'Mapa final'!$R$36),"")</f>
        <v/>
      </c>
      <c r="V166" s="43" t="str">
        <f>IF(AND('Mapa final'!$AB$34="Baja",'Mapa final'!$AD$34="Catastrófico"),CONCATENATE("R11C",'Mapa final'!$R$34),"")</f>
        <v/>
      </c>
      <c r="W166" s="44" t="str">
        <f>IF(AND('Mapa final'!$AB$35="Baja",'Mapa final'!$AD$35="Catastrófico"),CONCATENATE("R11C",'Mapa final'!$R$35),"")</f>
        <v/>
      </c>
      <c r="X166" s="100" t="str">
        <f>IF(AND('Mapa final'!$AB$36="Baja",'Mapa final'!$AD$36="Catastrófico"),CONCATENATE("R11C",'Mapa final'!$R$36),"")</f>
        <v/>
      </c>
      <c r="Y166" s="56"/>
      <c r="Z166" s="305"/>
      <c r="AA166" s="306"/>
      <c r="AB166" s="306"/>
      <c r="AC166" s="306"/>
      <c r="AD166" s="306"/>
      <c r="AE166" s="307"/>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c r="BF166" s="56"/>
      <c r="BG166" s="56"/>
      <c r="BH166" s="56"/>
      <c r="BI166" s="56"/>
    </row>
    <row r="167" spans="1:61" ht="15" customHeight="1" x14ac:dyDescent="0.35">
      <c r="A167" s="56"/>
      <c r="B167" s="300"/>
      <c r="C167" s="300"/>
      <c r="D167" s="301"/>
      <c r="E167" s="287"/>
      <c r="F167" s="288"/>
      <c r="G167" s="288"/>
      <c r="H167" s="288"/>
      <c r="I167" s="288"/>
      <c r="J167" s="115" t="str">
        <f>IF(AND('Mapa final'!$AB$37="Baja",'Mapa final'!$AD$37="Leve"),CONCATENATE("R12C",'Mapa final'!$R$37),"")</f>
        <v/>
      </c>
      <c r="K167" s="54" t="str">
        <f>IF(AND('Mapa final'!$AB$38="Baja",'Mapa final'!$AD$38="Leve"),CONCATENATE("R12C",'Mapa final'!$R$38),"")</f>
        <v/>
      </c>
      <c r="L167" s="116" t="str">
        <f>IF(AND('Mapa final'!$AB$39="Baja",'Mapa final'!$AD$39="Leve"),CONCATENATE("R12C",'Mapa final'!$R$39),"")</f>
        <v/>
      </c>
      <c r="M167" s="49" t="str">
        <f>IF(AND('Mapa final'!$AB$37="Baja",'Mapa final'!$AD$37="Menor"),CONCATENATE("R12C",'Mapa final'!$R$37),"")</f>
        <v/>
      </c>
      <c r="N167" s="50" t="str">
        <f>IF(AND('Mapa final'!$AB$38="Baja",'Mapa final'!$AD$38="Menor"),CONCATENATE("R12C",'Mapa final'!$R$38),"")</f>
        <v/>
      </c>
      <c r="O167" s="111" t="str">
        <f>IF(AND('Mapa final'!$AB$39="Baja",'Mapa final'!$AD$39="Menor"),CONCATENATE("R12C",'Mapa final'!$R$39),"")</f>
        <v/>
      </c>
      <c r="P167" s="49" t="str">
        <f>IF(AND('Mapa final'!$AB$37="Baja",'Mapa final'!$AD$37="Moderado"),CONCATENATE("R12C",'Mapa final'!$R$37),"")</f>
        <v>R12C1</v>
      </c>
      <c r="Q167" s="50" t="str">
        <f>IF(AND('Mapa final'!$AB$38="Baja",'Mapa final'!$AD$38="Moderado"),CONCATENATE("R12C",'Mapa final'!$R$38),"")</f>
        <v/>
      </c>
      <c r="R167" s="111" t="str">
        <f>IF(AND('Mapa final'!$AB$39="Baja",'Mapa final'!$AD$39="Moderado"),CONCATENATE("R12C",'Mapa final'!$R$39),"")</f>
        <v/>
      </c>
      <c r="S167" s="105" t="str">
        <f>IF(AND('Mapa final'!$AB$37="Baja",'Mapa final'!$AD$37="Mayor"),CONCATENATE("R12C",'Mapa final'!$R$37),"")</f>
        <v/>
      </c>
      <c r="T167" s="42" t="str">
        <f>IF(AND('Mapa final'!$AB$38="Baja",'Mapa final'!$AD$38="Mayor"),CONCATENATE("R12C",'Mapa final'!$R$38),"")</f>
        <v/>
      </c>
      <c r="U167" s="106" t="str">
        <f>IF(AND('Mapa final'!$AB$39="Baja",'Mapa final'!$AD$39="Mayor"),CONCATENATE("R12C",'Mapa final'!$R$39),"")</f>
        <v/>
      </c>
      <c r="V167" s="43" t="str">
        <f>IF(AND('Mapa final'!$AB$37="Baja",'Mapa final'!$AD$37="Catastrófico"),CONCATENATE("R12C",'Mapa final'!$R$37),"")</f>
        <v/>
      </c>
      <c r="W167" s="44" t="str">
        <f>IF(AND('Mapa final'!$AB$38="Baja",'Mapa final'!$AD$38="Catastrófico"),CONCATENATE("R12C",'Mapa final'!$R$38),"")</f>
        <v/>
      </c>
      <c r="X167" s="100" t="str">
        <f>IF(AND('Mapa final'!$AB$39="Baja",'Mapa final'!$AD$39="Catastrófico"),CONCATENATE("R12C",'Mapa final'!$R$39),"")</f>
        <v/>
      </c>
      <c r="Y167" s="56"/>
      <c r="Z167" s="305"/>
      <c r="AA167" s="306"/>
      <c r="AB167" s="306"/>
      <c r="AC167" s="306"/>
      <c r="AD167" s="306"/>
      <c r="AE167" s="307"/>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c r="BF167" s="56"/>
      <c r="BG167" s="56"/>
      <c r="BH167" s="56"/>
      <c r="BI167" s="56"/>
    </row>
    <row r="168" spans="1:61" ht="15" customHeight="1" x14ac:dyDescent="0.35">
      <c r="A168" s="56"/>
      <c r="B168" s="300"/>
      <c r="C168" s="300"/>
      <c r="D168" s="301"/>
      <c r="E168" s="287"/>
      <c r="F168" s="288"/>
      <c r="G168" s="288"/>
      <c r="H168" s="288"/>
      <c r="I168" s="288"/>
      <c r="J168" s="115" t="str">
        <f>IF(AND('Mapa final'!$AB$40="Baja",'Mapa final'!$AD$40="Leve"),CONCATENATE("R13C",'Mapa final'!$R$40),"")</f>
        <v/>
      </c>
      <c r="K168" s="54" t="str">
        <f>IF(AND('Mapa final'!$AB$41="Baja",'Mapa final'!$AD$41="Leve"),CONCATENATE("R13C",'Mapa final'!$R$41),"")</f>
        <v/>
      </c>
      <c r="L168" s="116" t="str">
        <f>IF(AND('Mapa final'!$AB$42="Baja",'Mapa final'!$AD$42="Leve"),CONCATENATE("R13C",'Mapa final'!$R$42),"")</f>
        <v/>
      </c>
      <c r="M168" s="49" t="str">
        <f>IF(AND('Mapa final'!$AB$40="Baja",'Mapa final'!$AD$40="Menor"),CONCATENATE("R13C",'Mapa final'!$R$40),"")</f>
        <v/>
      </c>
      <c r="N168" s="50" t="str">
        <f>IF(AND('Mapa final'!$AB$41="Baja",'Mapa final'!$AD$41="Menor"),CONCATENATE("R13C",'Mapa final'!$R$41),"")</f>
        <v/>
      </c>
      <c r="O168" s="111" t="str">
        <f>IF(AND('Mapa final'!$AB$42="Baja",'Mapa final'!$AD$42="Menor"),CONCATENATE("R13C",'Mapa final'!$R$42),"")</f>
        <v/>
      </c>
      <c r="P168" s="49" t="str">
        <f>IF(AND('Mapa final'!$AB$40="Baja",'Mapa final'!$AD$40="Moderado"),CONCATENATE("R13C",'Mapa final'!$R$40),"")</f>
        <v/>
      </c>
      <c r="Q168" s="50" t="str">
        <f>IF(AND('Mapa final'!$AB$41="Baja",'Mapa final'!$AD$41="Moderado"),CONCATENATE("R13C",'Mapa final'!$R$41),"")</f>
        <v/>
      </c>
      <c r="R168" s="111" t="str">
        <f>IF(AND('Mapa final'!$AB$42="Baja",'Mapa final'!$AD$42="Moderado"),CONCATENATE("R13C",'Mapa final'!$R$42),"")</f>
        <v/>
      </c>
      <c r="S168" s="105" t="str">
        <f>IF(AND('Mapa final'!$AB$40="Baja",'Mapa final'!$AD$40="Mayor"),CONCATENATE("R13C",'Mapa final'!$R$40),"")</f>
        <v/>
      </c>
      <c r="T168" s="42" t="str">
        <f>IF(AND('Mapa final'!$AB$41="Baja",'Mapa final'!$AD$41="Mayor"),CONCATENATE("R13C",'Mapa final'!$R$41),"")</f>
        <v/>
      </c>
      <c r="U168" s="106" t="str">
        <f>IF(AND('Mapa final'!$AB$42="Baja",'Mapa final'!$AD$42="Mayor"),CONCATENATE("R13C",'Mapa final'!$R$42),"")</f>
        <v/>
      </c>
      <c r="V168" s="43" t="str">
        <f>IF(AND('Mapa final'!$AB$40="Baja",'Mapa final'!$AD$40="Catastrófico"),CONCATENATE("R13C",'Mapa final'!$R$40),"")</f>
        <v/>
      </c>
      <c r="W168" s="44" t="str">
        <f>IF(AND('Mapa final'!$AB$41="Baja",'Mapa final'!$AD$41="Catastrófico"),CONCATENATE("R13C",'Mapa final'!$R$41),"")</f>
        <v/>
      </c>
      <c r="X168" s="100" t="str">
        <f>IF(AND('Mapa final'!$AB$42="Baja",'Mapa final'!$AD$42="Catastrófico"),CONCATENATE("R13C",'Mapa final'!$R$42),"")</f>
        <v/>
      </c>
      <c r="Y168" s="56"/>
      <c r="Z168" s="305"/>
      <c r="AA168" s="306"/>
      <c r="AB168" s="306"/>
      <c r="AC168" s="306"/>
      <c r="AD168" s="306"/>
      <c r="AE168" s="307"/>
      <c r="AF168" s="56"/>
      <c r="AG168" s="56"/>
      <c r="AH168" s="56"/>
      <c r="AI168" s="56"/>
      <c r="AJ168" s="56"/>
      <c r="AK168" s="56"/>
      <c r="AL168" s="56"/>
      <c r="AM168" s="56"/>
      <c r="AN168" s="56"/>
      <c r="AO168" s="56"/>
      <c r="AP168" s="56"/>
      <c r="AQ168" s="56"/>
      <c r="AR168" s="56"/>
      <c r="AS168" s="56"/>
      <c r="AT168" s="56"/>
      <c r="AU168" s="56"/>
      <c r="AV168" s="56"/>
      <c r="AW168" s="56"/>
      <c r="AX168" s="56"/>
      <c r="AY168" s="56"/>
      <c r="AZ168" s="56"/>
      <c r="BA168" s="56"/>
      <c r="BB168" s="56"/>
      <c r="BC168" s="56"/>
      <c r="BD168" s="56"/>
      <c r="BE168" s="56"/>
      <c r="BF168" s="56"/>
      <c r="BG168" s="56"/>
      <c r="BH168" s="56"/>
      <c r="BI168" s="56"/>
    </row>
    <row r="169" spans="1:61" ht="15" customHeight="1" x14ac:dyDescent="0.35">
      <c r="A169" s="56"/>
      <c r="B169" s="300"/>
      <c r="C169" s="300"/>
      <c r="D169" s="301"/>
      <c r="E169" s="287"/>
      <c r="F169" s="288"/>
      <c r="G169" s="288"/>
      <c r="H169" s="288"/>
      <c r="I169" s="288"/>
      <c r="J169" s="115" t="str">
        <f>IF(AND('Mapa final'!$AB$43="Baja",'Mapa final'!$AD$43="Leve"),CONCATENATE("R14C",'Mapa final'!$R$43),"")</f>
        <v/>
      </c>
      <c r="K169" s="54" t="str">
        <f>IF(AND('Mapa final'!$AB$44="Baja",'Mapa final'!$AD$44="Leve"),CONCATENATE("R14C",'Mapa final'!$R$44),"")</f>
        <v/>
      </c>
      <c r="L169" s="116" t="str">
        <f>IF(AND('Mapa final'!$AB$45="Baja",'Mapa final'!$AD$45="Leve"),CONCATENATE("R14C",'Mapa final'!$R$45),"")</f>
        <v/>
      </c>
      <c r="M169" s="49" t="str">
        <f>IF(AND('Mapa final'!$AB$43="Baja",'Mapa final'!$AD$43="Menor"),CONCATENATE("R14C",'Mapa final'!$R$43),"")</f>
        <v/>
      </c>
      <c r="N169" s="50" t="str">
        <f>IF(AND('Mapa final'!$AB$44="Baja",'Mapa final'!$AD$44="Menor"),CONCATENATE("R14C",'Mapa final'!$R$44),"")</f>
        <v/>
      </c>
      <c r="O169" s="111" t="str">
        <f>IF(AND('Mapa final'!$AB$45="Baja",'Mapa final'!$AD$45="Menor"),CONCATENATE("R14C",'Mapa final'!$R$45),"")</f>
        <v/>
      </c>
      <c r="P169" s="49" t="str">
        <f>IF(AND('Mapa final'!$AB$43="Baja",'Mapa final'!$AD$43="Moderado"),CONCATENATE("R14C",'Mapa final'!$R$43),"")</f>
        <v>R14C1</v>
      </c>
      <c r="Q169" s="50" t="str">
        <f>IF(AND('Mapa final'!$AB$44="Baja",'Mapa final'!$AD$44="Moderado"),CONCATENATE("R14C",'Mapa final'!$R$44),"")</f>
        <v/>
      </c>
      <c r="R169" s="111" t="str">
        <f>IF(AND('Mapa final'!$AB$45="Baja",'Mapa final'!$AD$45="Moderado"),CONCATENATE("R14C",'Mapa final'!$R$45),"")</f>
        <v/>
      </c>
      <c r="S169" s="105" t="str">
        <f>IF(AND('Mapa final'!$AB$43="Baja",'Mapa final'!$AD$43="Mayor"),CONCATENATE("R14C",'Mapa final'!$R$43),"")</f>
        <v/>
      </c>
      <c r="T169" s="42" t="str">
        <f>IF(AND('Mapa final'!$AB$44="Baja",'Mapa final'!$AD$44="Mayor"),CONCATENATE("R14C",'Mapa final'!$R$44),"")</f>
        <v/>
      </c>
      <c r="U169" s="106" t="str">
        <f>IF(AND('Mapa final'!$AB$45="Baja",'Mapa final'!$AD$45="Mayor"),CONCATENATE("R14C",'Mapa final'!$R$45),"")</f>
        <v/>
      </c>
      <c r="V169" s="43" t="str">
        <f>IF(AND('Mapa final'!$AB$43="Baja",'Mapa final'!$AD$43="Catastrófico"),CONCATENATE("R14C",'Mapa final'!$R$43),"")</f>
        <v/>
      </c>
      <c r="W169" s="44" t="str">
        <f>IF(AND('Mapa final'!$AB$44="Baja",'Mapa final'!$AD$44="Catastrófico"),CONCATENATE("R14C",'Mapa final'!$R$44),"")</f>
        <v/>
      </c>
      <c r="X169" s="100" t="str">
        <f>IF(AND('Mapa final'!$AB$45="Baja",'Mapa final'!$AD$45="Catastrófico"),CONCATENATE("R14C",'Mapa final'!$R$45),"")</f>
        <v/>
      </c>
      <c r="Y169" s="56"/>
      <c r="Z169" s="305"/>
      <c r="AA169" s="306"/>
      <c r="AB169" s="306"/>
      <c r="AC169" s="306"/>
      <c r="AD169" s="306"/>
      <c r="AE169" s="307"/>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c r="BB169" s="56"/>
      <c r="BC169" s="56"/>
      <c r="BD169" s="56"/>
      <c r="BE169" s="56"/>
      <c r="BF169" s="56"/>
      <c r="BG169" s="56"/>
      <c r="BH169" s="56"/>
      <c r="BI169" s="56"/>
    </row>
    <row r="170" spans="1:61" ht="15" customHeight="1" x14ac:dyDescent="0.35">
      <c r="A170" s="56"/>
      <c r="B170" s="300"/>
      <c r="C170" s="300"/>
      <c r="D170" s="301"/>
      <c r="E170" s="287"/>
      <c r="F170" s="288"/>
      <c r="G170" s="288"/>
      <c r="H170" s="288"/>
      <c r="I170" s="288"/>
      <c r="J170" s="115" t="str">
        <f>IF(AND('Mapa final'!$AB$46="Baja",'Mapa final'!$AD$46="Leve"),CONCATENATE("R15C",'Mapa final'!$R$46),"")</f>
        <v/>
      </c>
      <c r="K170" s="54" t="str">
        <f>IF(AND('Mapa final'!$AB$47="Baja",'Mapa final'!$AD$47="Leve"),CONCATENATE("R15C",'Mapa final'!$R$47),"")</f>
        <v/>
      </c>
      <c r="L170" s="116" t="str">
        <f>IF(AND('Mapa final'!$AB$48="Baja",'Mapa final'!$AD$48="Leve"),CONCATENATE("R15C",'Mapa final'!$R$48),"")</f>
        <v/>
      </c>
      <c r="M170" s="49" t="str">
        <f>IF(AND('Mapa final'!$AB$46="Baja",'Mapa final'!$AD$46="Menor"),CONCATENATE("R15C",'Mapa final'!$R$46),"")</f>
        <v/>
      </c>
      <c r="N170" s="50" t="str">
        <f>IF(AND('Mapa final'!$AB$47="Baja",'Mapa final'!$AD$47="Menor"),CONCATENATE("R15C",'Mapa final'!$R$47),"")</f>
        <v/>
      </c>
      <c r="O170" s="111" t="str">
        <f>IF(AND('Mapa final'!$AB$48="Baja",'Mapa final'!$AD$48="Menor"),CONCATENATE("R15C",'Mapa final'!$R$48),"")</f>
        <v/>
      </c>
      <c r="P170" s="49" t="str">
        <f>IF(AND('Mapa final'!$AB$46="Baja",'Mapa final'!$AD$46="Moderado"),CONCATENATE("R15C",'Mapa final'!$R$46),"")</f>
        <v/>
      </c>
      <c r="Q170" s="50" t="str">
        <f>IF(AND('Mapa final'!$AB$47="Baja",'Mapa final'!$AD$47="Moderado"),CONCATENATE("R15C",'Mapa final'!$R$47),"")</f>
        <v/>
      </c>
      <c r="R170" s="111" t="str">
        <f>IF(AND('Mapa final'!$AB$48="Baja",'Mapa final'!$AD$48="Moderado"),CONCATENATE("R15C",'Mapa final'!$R$48),"")</f>
        <v/>
      </c>
      <c r="S170" s="105" t="str">
        <f>IF(AND('Mapa final'!$AB$46="Baja",'Mapa final'!$AD$46="Mayor"),CONCATENATE("R15C",'Mapa final'!$R$46),"")</f>
        <v/>
      </c>
      <c r="T170" s="42" t="str">
        <f>IF(AND('Mapa final'!$AB$47="Baja",'Mapa final'!$AD$47="Mayor"),CONCATENATE("R15C",'Mapa final'!$R$47),"")</f>
        <v/>
      </c>
      <c r="U170" s="106" t="str">
        <f>IF(AND('Mapa final'!$AB$48="Baja",'Mapa final'!$AD$48="Mayor"),CONCATENATE("R15C",'Mapa final'!$R$48),"")</f>
        <v/>
      </c>
      <c r="V170" s="43" t="str">
        <f>IF(AND('Mapa final'!$AB$46="Baja",'Mapa final'!$AD$46="Catastrófico"),CONCATENATE("R15C",'Mapa final'!$R$46),"")</f>
        <v/>
      </c>
      <c r="W170" s="44" t="str">
        <f>IF(AND('Mapa final'!$AB$47="Baja",'Mapa final'!$AD$47="Catastrófico"),CONCATENATE("R15C",'Mapa final'!$R$47),"")</f>
        <v/>
      </c>
      <c r="X170" s="100" t="str">
        <f>IF(AND('Mapa final'!$AB$48="Baja",'Mapa final'!$AD$48="Catastrófico"),CONCATENATE("R15C",'Mapa final'!$R$48),"")</f>
        <v/>
      </c>
      <c r="Y170" s="56"/>
      <c r="Z170" s="305"/>
      <c r="AA170" s="306"/>
      <c r="AB170" s="306"/>
      <c r="AC170" s="306"/>
      <c r="AD170" s="306"/>
      <c r="AE170" s="307"/>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c r="BI170" s="56"/>
    </row>
    <row r="171" spans="1:61" ht="15" customHeight="1" x14ac:dyDescent="0.35">
      <c r="A171" s="56"/>
      <c r="B171" s="300"/>
      <c r="C171" s="300"/>
      <c r="D171" s="301"/>
      <c r="E171" s="287"/>
      <c r="F171" s="288"/>
      <c r="G171" s="288"/>
      <c r="H171" s="288"/>
      <c r="I171" s="288"/>
      <c r="J171" s="115" t="str">
        <f>IF(AND('Mapa final'!$AB$49="Baja",'Mapa final'!$AD$49="Leve"),CONCATENATE("R16C",'Mapa final'!$R$49),"")</f>
        <v/>
      </c>
      <c r="K171" s="54" t="str">
        <f>IF(AND('Mapa final'!$AB$50="Baja",'Mapa final'!$AD$50="Leve"),CONCATENATE("R16C",'Mapa final'!$R$50),"")</f>
        <v/>
      </c>
      <c r="L171" s="116" t="str">
        <f>IF(AND('Mapa final'!$AB$51="Baja",'Mapa final'!$AD$51="Leve"),CONCATENATE("R16C",'Mapa final'!$R$51),"")</f>
        <v/>
      </c>
      <c r="M171" s="49" t="str">
        <f>IF(AND('Mapa final'!$AB$49="Baja",'Mapa final'!$AD$49="Menor"),CONCATENATE("R16C",'Mapa final'!$R$49),"")</f>
        <v/>
      </c>
      <c r="N171" s="50" t="str">
        <f>IF(AND('Mapa final'!$AB$50="Baja",'Mapa final'!$AD$50="Menor"),CONCATENATE("R16C",'Mapa final'!$R$50),"")</f>
        <v/>
      </c>
      <c r="O171" s="111" t="str">
        <f>IF(AND('Mapa final'!$AB$51="Baja",'Mapa final'!$AD$51="Menor"),CONCATENATE("R16C",'Mapa final'!$R$51),"")</f>
        <v/>
      </c>
      <c r="P171" s="49" t="str">
        <f>IF(AND('Mapa final'!$AB$49="Baja",'Mapa final'!$AD$49="Moderado"),CONCATENATE("R16C",'Mapa final'!$R$49),"")</f>
        <v>R16C1</v>
      </c>
      <c r="Q171" s="50" t="str">
        <f>IF(AND('Mapa final'!$AB$50="Baja",'Mapa final'!$AD$50="Moderado"),CONCATENATE("R16C",'Mapa final'!$R$50),"")</f>
        <v/>
      </c>
      <c r="R171" s="111" t="str">
        <f>IF(AND('Mapa final'!$AB$51="Baja",'Mapa final'!$AD$51="Moderado"),CONCATENATE("R16C",'Mapa final'!$R$51),"")</f>
        <v/>
      </c>
      <c r="S171" s="105" t="str">
        <f>IF(AND('Mapa final'!$AB$49="Baja",'Mapa final'!$AD$49="Mayor"),CONCATENATE("R16C",'Mapa final'!$R$49),"")</f>
        <v/>
      </c>
      <c r="T171" s="42" t="str">
        <f>IF(AND('Mapa final'!$AB$50="Baja",'Mapa final'!$AD$50="Mayor"),CONCATENATE("R16C",'Mapa final'!$R$50),"")</f>
        <v/>
      </c>
      <c r="U171" s="106" t="str">
        <f>IF(AND('Mapa final'!$AB$51="Baja",'Mapa final'!$AD$51="Mayor"),CONCATENATE("R16C",'Mapa final'!$R$51),"")</f>
        <v/>
      </c>
      <c r="V171" s="43" t="str">
        <f>IF(AND('Mapa final'!$AB$49="Baja",'Mapa final'!$AD$49="Catastrófico"),CONCATENATE("R16C",'Mapa final'!$R$49),"")</f>
        <v/>
      </c>
      <c r="W171" s="44" t="str">
        <f>IF(AND('Mapa final'!$AB$50="Baja",'Mapa final'!$AD$50="Catastrófico"),CONCATENATE("R16C",'Mapa final'!$R$50),"")</f>
        <v/>
      </c>
      <c r="X171" s="100" t="str">
        <f>IF(AND('Mapa final'!$AB$51="Baja",'Mapa final'!$AD$51="Catastrófico"),CONCATENATE("R16C",'Mapa final'!$R$51),"")</f>
        <v/>
      </c>
      <c r="Y171" s="56"/>
      <c r="Z171" s="305"/>
      <c r="AA171" s="306"/>
      <c r="AB171" s="306"/>
      <c r="AC171" s="306"/>
      <c r="AD171" s="306"/>
      <c r="AE171" s="307"/>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c r="BB171" s="56"/>
      <c r="BC171" s="56"/>
      <c r="BD171" s="56"/>
      <c r="BE171" s="56"/>
      <c r="BF171" s="56"/>
      <c r="BG171" s="56"/>
      <c r="BH171" s="56"/>
      <c r="BI171" s="56"/>
    </row>
    <row r="172" spans="1:61" ht="15" customHeight="1" x14ac:dyDescent="0.35">
      <c r="A172" s="56"/>
      <c r="B172" s="300"/>
      <c r="C172" s="300"/>
      <c r="D172" s="301"/>
      <c r="E172" s="287"/>
      <c r="F172" s="288"/>
      <c r="G172" s="288"/>
      <c r="H172" s="288"/>
      <c r="I172" s="288"/>
      <c r="J172" s="115" t="str">
        <f>IF(AND('Mapa final'!$AB$52="Baja",'Mapa final'!$AD$52="Leve"),CONCATENATE("R17C",'Mapa final'!$R$52),"")</f>
        <v/>
      </c>
      <c r="K172" s="54" t="str">
        <f>IF(AND('Mapa final'!$AB$53="Baja",'Mapa final'!$AD$53="Leve"),CONCATENATE("R17C",'Mapa final'!$R$53),"")</f>
        <v/>
      </c>
      <c r="L172" s="116" t="str">
        <f>IF(AND('Mapa final'!$AB$54="Baja",'Mapa final'!$AD$54="Leve"),CONCATENATE("R17C",'Mapa final'!$R$54),"")</f>
        <v/>
      </c>
      <c r="M172" s="49" t="str">
        <f>IF(AND('Mapa final'!$AB$52="Baja",'Mapa final'!$AD$52="Menor"),CONCATENATE("R17C",'Mapa final'!$R$52),"")</f>
        <v/>
      </c>
      <c r="N172" s="50" t="str">
        <f>IF(AND('Mapa final'!$AB$53="Baja",'Mapa final'!$AD$53="Menor"),CONCATENATE("R17C",'Mapa final'!$R$53),"")</f>
        <v/>
      </c>
      <c r="O172" s="111" t="str">
        <f>IF(AND('Mapa final'!$AB$54="Baja",'Mapa final'!$AD$54="Menor"),CONCATENATE("R17C",'Mapa final'!$R$54),"")</f>
        <v/>
      </c>
      <c r="P172" s="49" t="str">
        <f>IF(AND('Mapa final'!$AB$52="Baja",'Mapa final'!$AD$52="Moderado"),CONCATENATE("R17C",'Mapa final'!$R$52),"")</f>
        <v/>
      </c>
      <c r="Q172" s="50" t="str">
        <f>IF(AND('Mapa final'!$AB$53="Baja",'Mapa final'!$AD$53="Moderado"),CONCATENATE("R17C",'Mapa final'!$R$53),"")</f>
        <v/>
      </c>
      <c r="R172" s="111" t="str">
        <f>IF(AND('Mapa final'!$AB$54="Baja",'Mapa final'!$AD$54="Moderado"),CONCATENATE("R17C",'Mapa final'!$R$54),"")</f>
        <v/>
      </c>
      <c r="S172" s="105" t="str">
        <f>IF(AND('Mapa final'!$AB$52="Baja",'Mapa final'!$AD$52="Mayor"),CONCATENATE("R17C",'Mapa final'!$R$52),"")</f>
        <v/>
      </c>
      <c r="T172" s="42" t="str">
        <f>IF(AND('Mapa final'!$AB$53="Baja",'Mapa final'!$AD$53="Mayor"),CONCATENATE("R17C",'Mapa final'!$R$53),"")</f>
        <v/>
      </c>
      <c r="U172" s="106" t="str">
        <f>IF(AND('Mapa final'!$AB$54="Baja",'Mapa final'!$AD$54="Mayor"),CONCATENATE("R17C",'Mapa final'!$R$54),"")</f>
        <v/>
      </c>
      <c r="V172" s="43" t="str">
        <f>IF(AND('Mapa final'!$AB$52="Baja",'Mapa final'!$AD$52="Catastrófico"),CONCATENATE("R17C",'Mapa final'!$R$52),"")</f>
        <v/>
      </c>
      <c r="W172" s="44" t="str">
        <f>IF(AND('Mapa final'!$AB$53="Baja",'Mapa final'!$AD$53="Catastrófico"),CONCATENATE("R17C",'Mapa final'!$R$53),"")</f>
        <v/>
      </c>
      <c r="X172" s="100" t="str">
        <f>IF(AND('Mapa final'!$AB$54="Baja",'Mapa final'!$AD$54="Catastrófico"),CONCATENATE("R17C",'Mapa final'!$R$54),"")</f>
        <v/>
      </c>
      <c r="Y172" s="56"/>
      <c r="Z172" s="305"/>
      <c r="AA172" s="306"/>
      <c r="AB172" s="306"/>
      <c r="AC172" s="306"/>
      <c r="AD172" s="306"/>
      <c r="AE172" s="307"/>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c r="BB172" s="56"/>
      <c r="BC172" s="56"/>
      <c r="BD172" s="56"/>
      <c r="BE172" s="56"/>
      <c r="BF172" s="56"/>
      <c r="BG172" s="56"/>
      <c r="BH172" s="56"/>
      <c r="BI172" s="56"/>
    </row>
    <row r="173" spans="1:61" ht="15" customHeight="1" x14ac:dyDescent="0.35">
      <c r="A173" s="56"/>
      <c r="B173" s="300"/>
      <c r="C173" s="300"/>
      <c r="D173" s="301"/>
      <c r="E173" s="287"/>
      <c r="F173" s="288"/>
      <c r="G173" s="288"/>
      <c r="H173" s="288"/>
      <c r="I173" s="288"/>
      <c r="J173" s="115" t="str">
        <f>IF(AND('Mapa final'!$AB$55="Baja",'Mapa final'!$AD$55="Leve"),CONCATENATE("R18C",'Mapa final'!$R$55),"")</f>
        <v/>
      </c>
      <c r="K173" s="54" t="str">
        <f>IF(AND('Mapa final'!$AB$56="Baja",'Mapa final'!$AD$56="Leve"),CONCATENATE("R18C",'Mapa final'!$R$56),"")</f>
        <v/>
      </c>
      <c r="L173" s="116" t="str">
        <f>IF(AND('Mapa final'!$AB$57="Baja",'Mapa final'!$AD$57="Leve"),CONCATENATE("R18C",'Mapa final'!$R$57),"")</f>
        <v/>
      </c>
      <c r="M173" s="49" t="str">
        <f>IF(AND('Mapa final'!$AB$55="Baja",'Mapa final'!$AD$55="Menor"),CONCATENATE("R18C",'Mapa final'!$R$55),"")</f>
        <v/>
      </c>
      <c r="N173" s="50" t="str">
        <f>IF(AND('Mapa final'!$AB$56="Baja",'Mapa final'!$AD$56="Menor"),CONCATENATE("R18C",'Mapa final'!$R$56),"")</f>
        <v/>
      </c>
      <c r="O173" s="111" t="str">
        <f>IF(AND('Mapa final'!$AB$57="Baja",'Mapa final'!$AD$57="Menor"),CONCATENATE("R18C",'Mapa final'!$R$57),"")</f>
        <v/>
      </c>
      <c r="P173" s="49" t="str">
        <f>IF(AND('Mapa final'!$AB$55="Baja",'Mapa final'!$AD$55="Moderado"),CONCATENATE("R18C",'Mapa final'!$R$55),"")</f>
        <v/>
      </c>
      <c r="Q173" s="50" t="str">
        <f>IF(AND('Mapa final'!$AB$56="Baja",'Mapa final'!$AD$56="Moderado"),CONCATENATE("R18C",'Mapa final'!$R$56),"")</f>
        <v>R18C2</v>
      </c>
      <c r="R173" s="111" t="str">
        <f>IF(AND('Mapa final'!$AB$57="Baja",'Mapa final'!$AD$57="Moderado"),CONCATENATE("R18C",'Mapa final'!$R$57),"")</f>
        <v/>
      </c>
      <c r="S173" s="105" t="str">
        <f>IF(AND('Mapa final'!$AB$55="Baja",'Mapa final'!$AD$55="Mayor"),CONCATENATE("R18C",'Mapa final'!$R$55),"")</f>
        <v/>
      </c>
      <c r="T173" s="42" t="str">
        <f>IF(AND('Mapa final'!$AB$56="Baja",'Mapa final'!$AD$56="Mayor"),CONCATENATE("R18C",'Mapa final'!$R$56),"")</f>
        <v/>
      </c>
      <c r="U173" s="106" t="str">
        <f>IF(AND('Mapa final'!$AB$57="Baja",'Mapa final'!$AD$57="Mayor"),CONCATENATE("R18C",'Mapa final'!$R$57),"")</f>
        <v/>
      </c>
      <c r="V173" s="43" t="str">
        <f>IF(AND('Mapa final'!$AB$55="Baja",'Mapa final'!$AD$55="Catastrófico"),CONCATENATE("R18C",'Mapa final'!$R$55),"")</f>
        <v/>
      </c>
      <c r="W173" s="44" t="str">
        <f>IF(AND('Mapa final'!$AB$56="Baja",'Mapa final'!$AD$56="Catastrófico"),CONCATENATE("R18C",'Mapa final'!$R$56),"")</f>
        <v/>
      </c>
      <c r="X173" s="100" t="str">
        <f>IF(AND('Mapa final'!$AB$57="Baja",'Mapa final'!$AD$57="Catastrófico"),CONCATENATE("R18C",'Mapa final'!$R$57),"")</f>
        <v/>
      </c>
      <c r="Y173" s="56"/>
      <c r="Z173" s="305"/>
      <c r="AA173" s="306"/>
      <c r="AB173" s="306"/>
      <c r="AC173" s="306"/>
      <c r="AD173" s="306"/>
      <c r="AE173" s="307"/>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c r="BF173" s="56"/>
      <c r="BG173" s="56"/>
      <c r="BH173" s="56"/>
      <c r="BI173" s="56"/>
    </row>
    <row r="174" spans="1:61" ht="15" customHeight="1" x14ac:dyDescent="0.35">
      <c r="A174" s="56"/>
      <c r="B174" s="300"/>
      <c r="C174" s="300"/>
      <c r="D174" s="301"/>
      <c r="E174" s="287"/>
      <c r="F174" s="288"/>
      <c r="G174" s="288"/>
      <c r="H174" s="288"/>
      <c r="I174" s="288"/>
      <c r="J174" s="115" t="str">
        <f>IF(AND('Mapa final'!$AB$58="Baja",'Mapa final'!$AD$58="Leve"),CONCATENATE("R19C",'Mapa final'!$R$58),"")</f>
        <v/>
      </c>
      <c r="K174" s="54" t="str">
        <f>IF(AND('Mapa final'!$AB$59="Baja",'Mapa final'!$AD$59="Leve"),CONCATENATE("R19C",'Mapa final'!$R$59),"")</f>
        <v/>
      </c>
      <c r="L174" s="116" t="str">
        <f>IF(AND('Mapa final'!$AB$60="Baja",'Mapa final'!$AD$60="Leve"),CONCATENATE("R19C",'Mapa final'!$R$60),"")</f>
        <v/>
      </c>
      <c r="M174" s="49" t="str">
        <f>IF(AND('Mapa final'!$AB$58="Baja",'Mapa final'!$AD$58="Menor"),CONCATENATE("R19C",'Mapa final'!$R$58),"")</f>
        <v/>
      </c>
      <c r="N174" s="50" t="str">
        <f>IF(AND('Mapa final'!$AB$59="Baja",'Mapa final'!$AD$59="Menor"),CONCATENATE("R19C",'Mapa final'!$R$59),"")</f>
        <v/>
      </c>
      <c r="O174" s="111" t="str">
        <f>IF(AND('Mapa final'!$AB$60="Baja",'Mapa final'!$AD$60="Menor"),CONCATENATE("R19C",'Mapa final'!$R$60),"")</f>
        <v/>
      </c>
      <c r="P174" s="49" t="str">
        <f>IF(AND('Mapa final'!$AB$58="Baja",'Mapa final'!$AD$58="Moderado"),CONCATENATE("R19C",'Mapa final'!$R$58),"")</f>
        <v/>
      </c>
      <c r="Q174" s="50" t="str">
        <f>IF(AND('Mapa final'!$AB$59="Baja",'Mapa final'!$AD$59="Moderado"),CONCATENATE("R19C",'Mapa final'!$R$59),"")</f>
        <v/>
      </c>
      <c r="R174" s="111" t="str">
        <f>IF(AND('Mapa final'!$AB$60="Baja",'Mapa final'!$AD$60="Moderado"),CONCATENATE("R19C",'Mapa final'!$R$60),"")</f>
        <v/>
      </c>
      <c r="S174" s="105" t="str">
        <f>IF(AND('Mapa final'!$AB$58="Baja",'Mapa final'!$AD$58="Mayor"),CONCATENATE("R19C",'Mapa final'!$R$58),"")</f>
        <v/>
      </c>
      <c r="T174" s="42" t="str">
        <f>IF(AND('Mapa final'!$AB$59="Baja",'Mapa final'!$AD$59="Mayor"),CONCATENATE("R19C",'Mapa final'!$R$59),"")</f>
        <v/>
      </c>
      <c r="U174" s="106" t="str">
        <f>IF(AND('Mapa final'!$AB$60="Baja",'Mapa final'!$AD$60="Mayor"),CONCATENATE("R19C",'Mapa final'!$R$60),"")</f>
        <v/>
      </c>
      <c r="V174" s="43" t="str">
        <f>IF(AND('Mapa final'!$AB$58="Baja",'Mapa final'!$AD$58="Catastrófico"),CONCATENATE("R19C",'Mapa final'!$R$58),"")</f>
        <v/>
      </c>
      <c r="W174" s="44" t="str">
        <f>IF(AND('Mapa final'!$AB$59="Baja",'Mapa final'!$AD$59="Catastrófico"),CONCATENATE("R19C",'Mapa final'!$R$59),"")</f>
        <v/>
      </c>
      <c r="X174" s="100" t="str">
        <f>IF(AND('Mapa final'!$AB$60="Baja",'Mapa final'!$AD$60="Catastrófico"),CONCATENATE("R19C",'Mapa final'!$R$60),"")</f>
        <v/>
      </c>
      <c r="Y174" s="56"/>
      <c r="Z174" s="305"/>
      <c r="AA174" s="306"/>
      <c r="AB174" s="306"/>
      <c r="AC174" s="306"/>
      <c r="AD174" s="306"/>
      <c r="AE174" s="307"/>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c r="BB174" s="56"/>
      <c r="BC174" s="56"/>
      <c r="BD174" s="56"/>
      <c r="BE174" s="56"/>
      <c r="BF174" s="56"/>
      <c r="BG174" s="56"/>
      <c r="BH174" s="56"/>
      <c r="BI174" s="56"/>
    </row>
    <row r="175" spans="1:61" ht="15" customHeight="1" x14ac:dyDescent="0.35">
      <c r="A175" s="56"/>
      <c r="B175" s="300"/>
      <c r="C175" s="300"/>
      <c r="D175" s="301"/>
      <c r="E175" s="287"/>
      <c r="F175" s="288"/>
      <c r="G175" s="288"/>
      <c r="H175" s="288"/>
      <c r="I175" s="288"/>
      <c r="J175" s="115" t="str">
        <f>IF(AND('Mapa final'!$AB$61="Baja",'Mapa final'!$AD$61="Leve"),CONCATENATE("R20C",'Mapa final'!$R$61),"")</f>
        <v/>
      </c>
      <c r="K175" s="54" t="str">
        <f>IF(AND('Mapa final'!$AB$62="Baja",'Mapa final'!$AD$62="Leve"),CONCATENATE("R20C",'Mapa final'!$R$62),"")</f>
        <v/>
      </c>
      <c r="L175" s="116" t="str">
        <f>IF(AND('Mapa final'!$AB$63="Baja",'Mapa final'!$AD$63="Leve"),CONCATENATE("R20C",'Mapa final'!$R$63),"")</f>
        <v/>
      </c>
      <c r="M175" s="49" t="str">
        <f>IF(AND('Mapa final'!$AB$61="Baja",'Mapa final'!$AD$61="Menor"),CONCATENATE("R20C",'Mapa final'!$R$61),"")</f>
        <v/>
      </c>
      <c r="N175" s="50" t="str">
        <f>IF(AND('Mapa final'!$AB$62="Baja",'Mapa final'!$AD$62="Menor"),CONCATENATE("R20C",'Mapa final'!$R$62),"")</f>
        <v/>
      </c>
      <c r="O175" s="111" t="str">
        <f>IF(AND('Mapa final'!$AB$63="Baja",'Mapa final'!$AD$63="Menor"),CONCATENATE("R20C",'Mapa final'!$R$63),"")</f>
        <v/>
      </c>
      <c r="P175" s="49" t="str">
        <f>IF(AND('Mapa final'!$AB$61="Baja",'Mapa final'!$AD$61="Moderado"),CONCATENATE("R20C",'Mapa final'!$R$61),"")</f>
        <v/>
      </c>
      <c r="Q175" s="50" t="str">
        <f>IF(AND('Mapa final'!$AB$62="Baja",'Mapa final'!$AD$62="Moderado"),CONCATENATE("R20C",'Mapa final'!$R$62),"")</f>
        <v/>
      </c>
      <c r="R175" s="111" t="str">
        <f>IF(AND('Mapa final'!$AB$63="Baja",'Mapa final'!$AD$63="Moderado"),CONCATENATE("R20C",'Mapa final'!$R$63),"")</f>
        <v/>
      </c>
      <c r="S175" s="105" t="str">
        <f>IF(AND('Mapa final'!$AB$61="Baja",'Mapa final'!$AD$61="Mayor"),CONCATENATE("R20C",'Mapa final'!$R$61),"")</f>
        <v>R20C1</v>
      </c>
      <c r="T175" s="42" t="str">
        <f>IF(AND('Mapa final'!$AB$62="Baja",'Mapa final'!$AD$62="Mayor"),CONCATENATE("R20C",'Mapa final'!$R$62),"")</f>
        <v/>
      </c>
      <c r="U175" s="106" t="str">
        <f>IF(AND('Mapa final'!$AB$63="Baja",'Mapa final'!$AD$63="Mayor"),CONCATENATE("R20C",'Mapa final'!$R$63),"")</f>
        <v/>
      </c>
      <c r="V175" s="43" t="str">
        <f>IF(AND('Mapa final'!$AB$61="Baja",'Mapa final'!$AD$61="Catastrófico"),CONCATENATE("R20C",'Mapa final'!$R$61),"")</f>
        <v/>
      </c>
      <c r="W175" s="44" t="str">
        <f>IF(AND('Mapa final'!$AB$62="Baja",'Mapa final'!$AD$62="Catastrófico"),CONCATENATE("R20C",'Mapa final'!$R$62),"")</f>
        <v/>
      </c>
      <c r="X175" s="100" t="str">
        <f>IF(AND('Mapa final'!$AB$63="Baja",'Mapa final'!$AD$63="Catastrófico"),CONCATENATE("R20C",'Mapa final'!$R$63),"")</f>
        <v/>
      </c>
      <c r="Y175" s="56"/>
      <c r="Z175" s="305"/>
      <c r="AA175" s="306"/>
      <c r="AB175" s="306"/>
      <c r="AC175" s="306"/>
      <c r="AD175" s="306"/>
      <c r="AE175" s="307"/>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c r="BB175" s="56"/>
      <c r="BC175" s="56"/>
      <c r="BD175" s="56"/>
      <c r="BE175" s="56"/>
      <c r="BF175" s="56"/>
      <c r="BG175" s="56"/>
      <c r="BH175" s="56"/>
      <c r="BI175" s="56"/>
    </row>
    <row r="176" spans="1:61" ht="15" customHeight="1" x14ac:dyDescent="0.35">
      <c r="A176" s="56"/>
      <c r="B176" s="300"/>
      <c r="C176" s="300"/>
      <c r="D176" s="301"/>
      <c r="E176" s="287"/>
      <c r="F176" s="288"/>
      <c r="G176" s="288"/>
      <c r="H176" s="288"/>
      <c r="I176" s="288"/>
      <c r="J176" s="115" t="str">
        <f>IF(AND('Mapa final'!$AB$64="Baja",'Mapa final'!$AD$64="Leve"),CONCATENATE("R21C",'Mapa final'!$R$64),"")</f>
        <v>R21C1</v>
      </c>
      <c r="K176" s="54" t="str">
        <f>IF(AND('Mapa final'!$AB$65="Baja",'Mapa final'!$AD$65="Leve"),CONCATENATE("R21C",'Mapa final'!$R$65),"")</f>
        <v/>
      </c>
      <c r="L176" s="116" t="str">
        <f>IF(AND('Mapa final'!$AB$66="Baja",'Mapa final'!$AD$66="Leve"),CONCATENATE("R21C",'Mapa final'!$R$66),"")</f>
        <v/>
      </c>
      <c r="M176" s="49" t="str">
        <f>IF(AND('Mapa final'!$AB$64="Baja",'Mapa final'!$AD$64="Menor"),CONCATENATE("R21C",'Mapa final'!$R$64),"")</f>
        <v/>
      </c>
      <c r="N176" s="50" t="str">
        <f>IF(AND('Mapa final'!$AB$65="Baja",'Mapa final'!$AD$65="Menor"),CONCATENATE("R21C",'Mapa final'!$R$65),"")</f>
        <v/>
      </c>
      <c r="O176" s="111" t="str">
        <f>IF(AND('Mapa final'!$AB$66="Baja",'Mapa final'!$AD$66="Menor"),CONCATENATE("R21C",'Mapa final'!$R$66),"")</f>
        <v/>
      </c>
      <c r="P176" s="49" t="str">
        <f>IF(AND('Mapa final'!$AB$64="Baja",'Mapa final'!$AD$64="Moderado"),CONCATENATE("R21C",'Mapa final'!$R$64),"")</f>
        <v/>
      </c>
      <c r="Q176" s="50" t="str">
        <f>IF(AND('Mapa final'!$AB$65="Baja",'Mapa final'!$AD$65="Moderado"),CONCATENATE("R21C",'Mapa final'!$R$65),"")</f>
        <v/>
      </c>
      <c r="R176" s="111" t="str">
        <f>IF(AND('Mapa final'!$AB$66="Baja",'Mapa final'!$AD$66="Moderado"),CONCATENATE("R21C",'Mapa final'!$R$66),"")</f>
        <v/>
      </c>
      <c r="S176" s="105" t="str">
        <f>IF(AND('Mapa final'!$AB$64="Baja",'Mapa final'!$AD$64="Mayor"),CONCATENATE("R21C",'Mapa final'!$R$64),"")</f>
        <v/>
      </c>
      <c r="T176" s="42" t="str">
        <f>IF(AND('Mapa final'!$AB$65="Baja",'Mapa final'!$AD$65="Mayor"),CONCATENATE("R21C",'Mapa final'!$R$65),"")</f>
        <v/>
      </c>
      <c r="U176" s="106" t="str">
        <f>IF(AND('Mapa final'!$AB$66="Baja",'Mapa final'!$AD$66="Mayor"),CONCATENATE("R21C",'Mapa final'!$R$66),"")</f>
        <v/>
      </c>
      <c r="V176" s="43" t="str">
        <f>IF(AND('Mapa final'!$AB$64="Baja",'Mapa final'!$AD$64="Catastrófico"),CONCATENATE("R21C",'Mapa final'!$R$64),"")</f>
        <v/>
      </c>
      <c r="W176" s="44" t="str">
        <f>IF(AND('Mapa final'!$AB$65="Baja",'Mapa final'!$AD$65="Catastrófico"),CONCATENATE("R21C",'Mapa final'!$R$65),"")</f>
        <v/>
      </c>
      <c r="X176" s="100" t="str">
        <f>IF(AND('Mapa final'!$AB$66="Baja",'Mapa final'!$AD$66="Catastrófico"),CONCATENATE("R21C",'Mapa final'!$R$66),"")</f>
        <v/>
      </c>
      <c r="Y176" s="56"/>
      <c r="Z176" s="305"/>
      <c r="AA176" s="306"/>
      <c r="AB176" s="306"/>
      <c r="AC176" s="306"/>
      <c r="AD176" s="306"/>
      <c r="AE176" s="307"/>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c r="BB176" s="56"/>
      <c r="BC176" s="56"/>
      <c r="BD176" s="56"/>
      <c r="BE176" s="56"/>
      <c r="BF176" s="56"/>
      <c r="BG176" s="56"/>
      <c r="BH176" s="56"/>
      <c r="BI176" s="56"/>
    </row>
    <row r="177" spans="1:61" ht="15" customHeight="1" x14ac:dyDescent="0.35">
      <c r="A177" s="56"/>
      <c r="B177" s="300"/>
      <c r="C177" s="300"/>
      <c r="D177" s="301"/>
      <c r="E177" s="287"/>
      <c r="F177" s="288"/>
      <c r="G177" s="288"/>
      <c r="H177" s="288"/>
      <c r="I177" s="288"/>
      <c r="J177" s="115" t="str">
        <f>IF(AND('Mapa final'!$AB$67="Baja",'Mapa final'!$AD$67="Leve"),CONCATENATE("R22C",'Mapa final'!$R$67),"")</f>
        <v/>
      </c>
      <c r="K177" s="54" t="str">
        <f>IF(AND('Mapa final'!$AB$68="Baja",'Mapa final'!$AD$68="Leve"),CONCATENATE("R22C",'Mapa final'!$R$68),"")</f>
        <v/>
      </c>
      <c r="L177" s="116" t="str">
        <f>IF(AND('Mapa final'!$AB$69="Baja",'Mapa final'!$AD$69="Leve"),CONCATENATE("R22C",'Mapa final'!$R$69),"")</f>
        <v/>
      </c>
      <c r="M177" s="49" t="str">
        <f>IF(AND('Mapa final'!$AB$67="Baja",'Mapa final'!$AD$67="Menor"),CONCATENATE("R22C",'Mapa final'!$R$67),"")</f>
        <v>R22C1</v>
      </c>
      <c r="N177" s="50" t="str">
        <f>IF(AND('Mapa final'!$AB$68="Baja",'Mapa final'!$AD$68="Menor"),CONCATENATE("R22C",'Mapa final'!$R$68),"")</f>
        <v/>
      </c>
      <c r="O177" s="111" t="str">
        <f>IF(AND('Mapa final'!$AB$69="Baja",'Mapa final'!$AD$69="Menor"),CONCATENATE("R22C",'Mapa final'!$R$69),"")</f>
        <v/>
      </c>
      <c r="P177" s="49" t="str">
        <f>IF(AND('Mapa final'!$AB$67="Baja",'Mapa final'!$AD$67="Moderado"),CONCATENATE("R22C",'Mapa final'!$R$67),"")</f>
        <v/>
      </c>
      <c r="Q177" s="50" t="str">
        <f>IF(AND('Mapa final'!$AB$68="Baja",'Mapa final'!$AD$68="Moderado"),CONCATENATE("R22C",'Mapa final'!$R$68),"")</f>
        <v/>
      </c>
      <c r="R177" s="111" t="str">
        <f>IF(AND('Mapa final'!$AB$69="Baja",'Mapa final'!$AD$69="Moderado"),CONCATENATE("R22C",'Mapa final'!$R$69),"")</f>
        <v/>
      </c>
      <c r="S177" s="105" t="str">
        <f>IF(AND('Mapa final'!$AB$67="Baja",'Mapa final'!$AD$67="Mayor"),CONCATENATE("R22C",'Mapa final'!$R$67),"")</f>
        <v/>
      </c>
      <c r="T177" s="42" t="str">
        <f>IF(AND('Mapa final'!$AB$68="Baja",'Mapa final'!$AD$68="Mayor"),CONCATENATE("R22C",'Mapa final'!$R$68),"")</f>
        <v/>
      </c>
      <c r="U177" s="106" t="str">
        <f>IF(AND('Mapa final'!$AB$69="Baja",'Mapa final'!$AD$69="Mayor"),CONCATENATE("R22C",'Mapa final'!$R$69),"")</f>
        <v/>
      </c>
      <c r="V177" s="43" t="str">
        <f>IF(AND('Mapa final'!$AB$67="Baja",'Mapa final'!$AD$67="Catastrófico"),CONCATENATE("R22C",'Mapa final'!$R$67),"")</f>
        <v/>
      </c>
      <c r="W177" s="44" t="str">
        <f>IF(AND('Mapa final'!$AB$68="Baja",'Mapa final'!$AD$68="Catastrófico"),CONCATENATE("R22C",'Mapa final'!$R$68),"")</f>
        <v/>
      </c>
      <c r="X177" s="100" t="str">
        <f>IF(AND('Mapa final'!$AB$69="Baja",'Mapa final'!$AD$69="Catastrófico"),CONCATENATE("R22C",'Mapa final'!$R$69),"")</f>
        <v/>
      </c>
      <c r="Y177" s="56"/>
      <c r="Z177" s="305"/>
      <c r="AA177" s="306"/>
      <c r="AB177" s="306"/>
      <c r="AC177" s="306"/>
      <c r="AD177" s="306"/>
      <c r="AE177" s="307"/>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c r="BB177" s="56"/>
      <c r="BC177" s="56"/>
      <c r="BD177" s="56"/>
      <c r="BE177" s="56"/>
      <c r="BF177" s="56"/>
      <c r="BG177" s="56"/>
      <c r="BH177" s="56"/>
      <c r="BI177" s="56"/>
    </row>
    <row r="178" spans="1:61" ht="15" customHeight="1" x14ac:dyDescent="0.35">
      <c r="A178" s="56"/>
      <c r="B178" s="300"/>
      <c r="C178" s="300"/>
      <c r="D178" s="301"/>
      <c r="E178" s="287"/>
      <c r="F178" s="288"/>
      <c r="G178" s="288"/>
      <c r="H178" s="288"/>
      <c r="I178" s="288"/>
      <c r="J178" s="115" t="str">
        <f>IF(AND('Mapa final'!$AB$73="Baja",'Mapa final'!$AD$73="Leve"),CONCATENATE("R23C",'Mapa final'!$R$73),"")</f>
        <v/>
      </c>
      <c r="K178" s="54" t="str">
        <f>IF(AND('Mapa final'!$AB$74="Baja",'Mapa final'!$AD$74="Leve"),CONCATENATE("R23C",'Mapa final'!$R$74),"")</f>
        <v/>
      </c>
      <c r="L178" s="116" t="str">
        <f>IF(AND('Mapa final'!$AB$75="Baja",'Mapa final'!$AD$75="Leve"),CONCATENATE("R23C",'Mapa final'!$R$75),"")</f>
        <v/>
      </c>
      <c r="M178" s="49" t="str">
        <f>IF(AND('Mapa final'!$AB$73="Baja",'Mapa final'!$AD$73="Menor"),CONCATENATE("R23C",'Mapa final'!$R$73),"")</f>
        <v/>
      </c>
      <c r="N178" s="50" t="str">
        <f>IF(AND('Mapa final'!$AB$74="Baja",'Mapa final'!$AD$74="Menor"),CONCATENATE("R23C",'Mapa final'!$R$74),"")</f>
        <v/>
      </c>
      <c r="O178" s="111" t="str">
        <f>IF(AND('Mapa final'!$AB$75="Baja",'Mapa final'!$AD$75="Menor"),CONCATENATE("R23C",'Mapa final'!$R$75),"")</f>
        <v/>
      </c>
      <c r="P178" s="49" t="str">
        <f>IF(AND('Mapa final'!$AB$73="Baja",'Mapa final'!$AD$73="Moderado"),CONCATENATE("R23C",'Mapa final'!$R$73),"")</f>
        <v/>
      </c>
      <c r="Q178" s="50" t="str">
        <f>IF(AND('Mapa final'!$AB$74="Baja",'Mapa final'!$AD$74="Moderado"),CONCATENATE("R23C",'Mapa final'!$R$74),"")</f>
        <v/>
      </c>
      <c r="R178" s="111" t="str">
        <f>IF(AND('Mapa final'!$AB$75="Baja",'Mapa final'!$AD$75="Moderado"),CONCATENATE("R23C",'Mapa final'!$R$75),"")</f>
        <v/>
      </c>
      <c r="S178" s="105" t="str">
        <f>IF(AND('Mapa final'!$AB$73="Baja",'Mapa final'!$AD$73="Mayor"),CONCATENATE("R23C",'Mapa final'!$R$73),"")</f>
        <v>R23C1</v>
      </c>
      <c r="T178" s="42" t="str">
        <f>IF(AND('Mapa final'!$AB$74="Baja",'Mapa final'!$AD$74="Mayor"),CONCATENATE("R23C",'Mapa final'!$R$74),"")</f>
        <v/>
      </c>
      <c r="U178" s="106" t="str">
        <f>IF(AND('Mapa final'!$AB$75="Baja",'Mapa final'!$AD$75="Mayor"),CONCATENATE("R23C",'Mapa final'!$R$75),"")</f>
        <v/>
      </c>
      <c r="V178" s="43" t="str">
        <f>IF(AND('Mapa final'!$AB$73="Baja",'Mapa final'!$AD$73="Catastrófico"),CONCATENATE("R23C",'Mapa final'!$R$73),"")</f>
        <v/>
      </c>
      <c r="W178" s="44" t="str">
        <f>IF(AND('Mapa final'!$AB$74="Baja",'Mapa final'!$AD$74="Catastrófico"),CONCATENATE("R23C",'Mapa final'!$R$74),"")</f>
        <v/>
      </c>
      <c r="X178" s="100" t="str">
        <f>IF(AND('Mapa final'!$AB$75="Baja",'Mapa final'!$AD$75="Catastrófico"),CONCATENATE("R23C",'Mapa final'!$R$75),"")</f>
        <v/>
      </c>
      <c r="Y178" s="56"/>
      <c r="Z178" s="305"/>
      <c r="AA178" s="306"/>
      <c r="AB178" s="306"/>
      <c r="AC178" s="306"/>
      <c r="AD178" s="306"/>
      <c r="AE178" s="307"/>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c r="BB178" s="56"/>
      <c r="BC178" s="56"/>
      <c r="BD178" s="56"/>
      <c r="BE178" s="56"/>
      <c r="BF178" s="56"/>
      <c r="BG178" s="56"/>
      <c r="BH178" s="56"/>
      <c r="BI178" s="56"/>
    </row>
    <row r="179" spans="1:61" ht="15" customHeight="1" x14ac:dyDescent="0.35">
      <c r="A179" s="56"/>
      <c r="B179" s="300"/>
      <c r="C179" s="300"/>
      <c r="D179" s="301"/>
      <c r="E179" s="287"/>
      <c r="F179" s="288"/>
      <c r="G179" s="288"/>
      <c r="H179" s="288"/>
      <c r="I179" s="288"/>
      <c r="J179" s="115" t="str">
        <f>IF(AND('Mapa final'!$AB$76="Baja",'Mapa final'!$AD$76="Leve"),CONCATENATE("R24C",'Mapa final'!$R$76),"")</f>
        <v/>
      </c>
      <c r="K179" s="54" t="str">
        <f>IF(AND('Mapa final'!$AB$77="Baja",'Mapa final'!$AD$77="Leve"),CONCATENATE("R24C",'Mapa final'!$R$77),"")</f>
        <v/>
      </c>
      <c r="L179" s="116" t="str">
        <f>IF(AND('Mapa final'!$AB$78="Baja",'Mapa final'!$AD$78="Leve"),CONCATENATE("R24C",'Mapa final'!$R$78),"")</f>
        <v/>
      </c>
      <c r="M179" s="49" t="str">
        <f>IF(AND('Mapa final'!$AB$76="Baja",'Mapa final'!$AD$76="Menor"),CONCATENATE("R24C",'Mapa final'!$R$76),"")</f>
        <v/>
      </c>
      <c r="N179" s="50" t="str">
        <f>IF(AND('Mapa final'!$AB$77="Baja",'Mapa final'!$AD$77="Menor"),CONCATENATE("R24C",'Mapa final'!$R$77),"")</f>
        <v/>
      </c>
      <c r="O179" s="111" t="str">
        <f>IF(AND('Mapa final'!$AB$78="Baja",'Mapa final'!$AD$78="Menor"),CONCATENATE("R24C",'Mapa final'!$R$78),"")</f>
        <v/>
      </c>
      <c r="P179" s="49" t="str">
        <f>IF(AND('Mapa final'!$AB$76="Baja",'Mapa final'!$AD$76="Moderado"),CONCATENATE("R24C",'Mapa final'!$R$76),"")</f>
        <v>R24C1</v>
      </c>
      <c r="Q179" s="50" t="str">
        <f>IF(AND('Mapa final'!$AB$77="Baja",'Mapa final'!$AD$77="Moderado"),CONCATENATE("R24C",'Mapa final'!$R$77),"")</f>
        <v/>
      </c>
      <c r="R179" s="111" t="str">
        <f>IF(AND('Mapa final'!$AB$78="Baja",'Mapa final'!$AD$78="Moderado"),CONCATENATE("R24C",'Mapa final'!$R$78),"")</f>
        <v/>
      </c>
      <c r="S179" s="105" t="str">
        <f>IF(AND('Mapa final'!$AB$76="Baja",'Mapa final'!$AD$76="Mayor"),CONCATENATE("R24C",'Mapa final'!$R$76),"")</f>
        <v/>
      </c>
      <c r="T179" s="42" t="str">
        <f>IF(AND('Mapa final'!$AB$77="Baja",'Mapa final'!$AD$77="Mayor"),CONCATENATE("R24C",'Mapa final'!$R$77),"")</f>
        <v/>
      </c>
      <c r="U179" s="106" t="str">
        <f>IF(AND('Mapa final'!$AB$78="Baja",'Mapa final'!$AD$78="Mayor"),CONCATENATE("R24C",'Mapa final'!$R$78),"")</f>
        <v/>
      </c>
      <c r="V179" s="43" t="str">
        <f>IF(AND('Mapa final'!$AB$76="Baja",'Mapa final'!$AD$76="Catastrófico"),CONCATENATE("R24C",'Mapa final'!$R$76),"")</f>
        <v/>
      </c>
      <c r="W179" s="44" t="str">
        <f>IF(AND('Mapa final'!$AB$77="Baja",'Mapa final'!$AD$77="Catastrófico"),CONCATENATE("R24C",'Mapa final'!$R$77),"")</f>
        <v/>
      </c>
      <c r="X179" s="100" t="str">
        <f>IF(AND('Mapa final'!$AB$78="Baja",'Mapa final'!$AD$78="Catastrófico"),CONCATENATE("R24C",'Mapa final'!$R$78),"")</f>
        <v/>
      </c>
      <c r="Y179" s="56"/>
      <c r="Z179" s="305"/>
      <c r="AA179" s="306"/>
      <c r="AB179" s="306"/>
      <c r="AC179" s="306"/>
      <c r="AD179" s="306"/>
      <c r="AE179" s="307"/>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c r="BB179" s="56"/>
      <c r="BC179" s="56"/>
      <c r="BD179" s="56"/>
      <c r="BE179" s="56"/>
      <c r="BF179" s="56"/>
      <c r="BG179" s="56"/>
      <c r="BH179" s="56"/>
      <c r="BI179" s="56"/>
    </row>
    <row r="180" spans="1:61" ht="15" customHeight="1" x14ac:dyDescent="0.35">
      <c r="A180" s="56"/>
      <c r="B180" s="300"/>
      <c r="C180" s="300"/>
      <c r="D180" s="301"/>
      <c r="E180" s="287"/>
      <c r="F180" s="288"/>
      <c r="G180" s="288"/>
      <c r="H180" s="288"/>
      <c r="I180" s="288"/>
      <c r="J180" s="115" t="str">
        <f>IF(AND('Mapa final'!$AB$79="Baja",'Mapa final'!$AD$79="Leve"),CONCATENATE("R25C",'Mapa final'!$R$79),"")</f>
        <v/>
      </c>
      <c r="K180" s="54" t="str">
        <f>IF(AND('Mapa final'!$AB$80="Baja",'Mapa final'!$AD$80="Leve"),CONCATENATE("R25C",'Mapa final'!$R$80),"")</f>
        <v/>
      </c>
      <c r="L180" s="116" t="str">
        <f>IF(AND('Mapa final'!$AB$81="Baja",'Mapa final'!$AD$81="Leve"),CONCATENATE("R25C",'Mapa final'!$R$81),"")</f>
        <v/>
      </c>
      <c r="M180" s="49" t="str">
        <f>IF(AND('Mapa final'!$AB$79="Baja",'Mapa final'!$AD$79="Menor"),CONCATENATE("R25C",'Mapa final'!$R$79),"")</f>
        <v/>
      </c>
      <c r="N180" s="50" t="str">
        <f>IF(AND('Mapa final'!$AB$80="Baja",'Mapa final'!$AD$80="Menor"),CONCATENATE("R25C",'Mapa final'!$R$80),"")</f>
        <v/>
      </c>
      <c r="O180" s="111" t="str">
        <f>IF(AND('Mapa final'!$AB$81="Baja",'Mapa final'!$AD$81="Menor"),CONCATENATE("R25C",'Mapa final'!$R$81),"")</f>
        <v/>
      </c>
      <c r="P180" s="49" t="str">
        <f>IF(AND('Mapa final'!$AB$79="Baja",'Mapa final'!$AD$79="Moderado"),CONCATENATE("R25C",'Mapa final'!$R$79),"")</f>
        <v>R25C1</v>
      </c>
      <c r="Q180" s="50" t="str">
        <f>IF(AND('Mapa final'!$AB$80="Baja",'Mapa final'!$AD$80="Moderado"),CONCATENATE("R25C",'Mapa final'!$R$80),"")</f>
        <v/>
      </c>
      <c r="R180" s="111" t="str">
        <f>IF(AND('Mapa final'!$AB$81="Baja",'Mapa final'!$AD$81="Moderado"),CONCATENATE("R25C",'Mapa final'!$R$81),"")</f>
        <v/>
      </c>
      <c r="S180" s="105" t="str">
        <f>IF(AND('Mapa final'!$AB$79="Baja",'Mapa final'!$AD$79="Mayor"),CONCATENATE("R25C",'Mapa final'!$R$79),"")</f>
        <v/>
      </c>
      <c r="T180" s="42" t="str">
        <f>IF(AND('Mapa final'!$AB$80="Baja",'Mapa final'!$AD$80="Mayor"),CONCATENATE("R25C",'Mapa final'!$R$80),"")</f>
        <v/>
      </c>
      <c r="U180" s="106" t="str">
        <f>IF(AND('Mapa final'!$AB$81="Baja",'Mapa final'!$AD$81="Mayor"),CONCATENATE("R25C",'Mapa final'!$R$81),"")</f>
        <v/>
      </c>
      <c r="V180" s="43" t="str">
        <f>IF(AND('Mapa final'!$AB$79="Baja",'Mapa final'!$AD$79="Catastrófico"),CONCATENATE("R25C",'Mapa final'!$R$79),"")</f>
        <v/>
      </c>
      <c r="W180" s="44" t="str">
        <f>IF(AND('Mapa final'!$AB$80="Baja",'Mapa final'!$AD$80="Catastrófico"),CONCATENATE("R25C",'Mapa final'!$R$80),"")</f>
        <v/>
      </c>
      <c r="X180" s="100" t="str">
        <f>IF(AND('Mapa final'!$AB$81="Baja",'Mapa final'!$AD$81="Catastrófico"),CONCATENATE("R25C",'Mapa final'!$R$81),"")</f>
        <v/>
      </c>
      <c r="Y180" s="56"/>
      <c r="Z180" s="305"/>
      <c r="AA180" s="306"/>
      <c r="AB180" s="306"/>
      <c r="AC180" s="306"/>
      <c r="AD180" s="306"/>
      <c r="AE180" s="307"/>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c r="BB180" s="56"/>
      <c r="BC180" s="56"/>
      <c r="BD180" s="56"/>
      <c r="BE180" s="56"/>
      <c r="BF180" s="56"/>
      <c r="BG180" s="56"/>
      <c r="BH180" s="56"/>
      <c r="BI180" s="56"/>
    </row>
    <row r="181" spans="1:61" ht="15" customHeight="1" x14ac:dyDescent="0.35">
      <c r="A181" s="56"/>
      <c r="B181" s="300"/>
      <c r="C181" s="300"/>
      <c r="D181" s="301"/>
      <c r="E181" s="287"/>
      <c r="F181" s="288"/>
      <c r="G181" s="288"/>
      <c r="H181" s="288"/>
      <c r="I181" s="288"/>
      <c r="J181" s="115" t="str">
        <f>IF(AND('Mapa final'!$AB$82="Baja",'Mapa final'!$AD$82="Leve"),CONCATENATE("R26C",'Mapa final'!$R$82),"")</f>
        <v/>
      </c>
      <c r="K181" s="54" t="str">
        <f>IF(AND('Mapa final'!$AB$83="Baja",'Mapa final'!$AD$83="Leve"),CONCATENATE("R26C",'Mapa final'!$R$83),"")</f>
        <v/>
      </c>
      <c r="L181" s="116" t="str">
        <f>IF(AND('Mapa final'!$AB$84="Baja",'Mapa final'!$AD$84="Leve"),CONCATENATE("R26C",'Mapa final'!$R$84),"")</f>
        <v/>
      </c>
      <c r="M181" s="49" t="str">
        <f>IF(AND('Mapa final'!$AB$82="Baja",'Mapa final'!$AD$82="Menor"),CONCATENATE("R26C",'Mapa final'!$R$82),"")</f>
        <v/>
      </c>
      <c r="N181" s="50" t="str">
        <f>IF(AND('Mapa final'!$AB$83="Baja",'Mapa final'!$AD$83="Menor"),CONCATENATE("R26C",'Mapa final'!$R$83),"")</f>
        <v/>
      </c>
      <c r="O181" s="111" t="str">
        <f>IF(AND('Mapa final'!$AB$84="Baja",'Mapa final'!$AD$84="Menor"),CONCATENATE("R26C",'Mapa final'!$R$84),"")</f>
        <v/>
      </c>
      <c r="P181" s="49" t="str">
        <f>IF(AND('Mapa final'!$AB$82="Baja",'Mapa final'!$AD$82="Moderado"),CONCATENATE("R26C",'Mapa final'!$R$82),"")</f>
        <v/>
      </c>
      <c r="Q181" s="50" t="str">
        <f>IF(AND('Mapa final'!$AB$83="Baja",'Mapa final'!$AD$83="Moderado"),CONCATENATE("R26C",'Mapa final'!$R$83),"")</f>
        <v/>
      </c>
      <c r="R181" s="111" t="str">
        <f>IF(AND('Mapa final'!$AB$84="Baja",'Mapa final'!$AD$84="Moderado"),CONCATENATE("R26C",'Mapa final'!$R$84),"")</f>
        <v/>
      </c>
      <c r="S181" s="105" t="str">
        <f>IF(AND('Mapa final'!$AB$82="Baja",'Mapa final'!$AD$82="Mayor"),CONCATENATE("R26C",'Mapa final'!$R$82),"")</f>
        <v/>
      </c>
      <c r="T181" s="42" t="str">
        <f>IF(AND('Mapa final'!$AB$83="Baja",'Mapa final'!$AD$83="Mayor"),CONCATENATE("R26C",'Mapa final'!$R$83),"")</f>
        <v/>
      </c>
      <c r="U181" s="106" t="str">
        <f>IF(AND('Mapa final'!$AB$84="Baja",'Mapa final'!$AD$84="Mayor"),CONCATENATE("R26C",'Mapa final'!$R$84),"")</f>
        <v/>
      </c>
      <c r="V181" s="43" t="str">
        <f>IF(AND('Mapa final'!$AB$82="Baja",'Mapa final'!$AD$82="Catastrófico"),CONCATENATE("R26C",'Mapa final'!$R$82),"")</f>
        <v/>
      </c>
      <c r="W181" s="44" t="str">
        <f>IF(AND('Mapa final'!$AB$83="Baja",'Mapa final'!$AD$83="Catastrófico"),CONCATENATE("R26C",'Mapa final'!$R$83),"")</f>
        <v/>
      </c>
      <c r="X181" s="100" t="str">
        <f>IF(AND('Mapa final'!$AB$84="Baja",'Mapa final'!$AD$84="Catastrófico"),CONCATENATE("R26C",'Mapa final'!$R$84),"")</f>
        <v/>
      </c>
      <c r="Y181" s="56"/>
      <c r="Z181" s="305"/>
      <c r="AA181" s="306"/>
      <c r="AB181" s="306"/>
      <c r="AC181" s="306"/>
      <c r="AD181" s="306"/>
      <c r="AE181" s="307"/>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c r="BB181" s="56"/>
      <c r="BC181" s="56"/>
      <c r="BD181" s="56"/>
      <c r="BE181" s="56"/>
      <c r="BF181" s="56"/>
      <c r="BG181" s="56"/>
      <c r="BH181" s="56"/>
      <c r="BI181" s="56"/>
    </row>
    <row r="182" spans="1:61" ht="15" customHeight="1" x14ac:dyDescent="0.35">
      <c r="A182" s="56"/>
      <c r="B182" s="300"/>
      <c r="C182" s="300"/>
      <c r="D182" s="301"/>
      <c r="E182" s="287"/>
      <c r="F182" s="288"/>
      <c r="G182" s="288"/>
      <c r="H182" s="288"/>
      <c r="I182" s="288"/>
      <c r="J182" s="115" t="str">
        <f>IF(AND('Mapa final'!$AB$85="Baja",'Mapa final'!$AD$85="Leve"),CONCATENATE("R27C",'Mapa final'!$R$85),"")</f>
        <v/>
      </c>
      <c r="K182" s="54" t="str">
        <f>IF(AND('Mapa final'!$AB$86="Baja",'Mapa final'!$AD$86="Leve"),CONCATENATE("R27C",'Mapa final'!$R$86),"")</f>
        <v/>
      </c>
      <c r="L182" s="116" t="str">
        <f>IF(AND('Mapa final'!$AB$87="Baja",'Mapa final'!$AD$87="Leve"),CONCATENATE("R27C",'Mapa final'!$R$87),"")</f>
        <v/>
      </c>
      <c r="M182" s="49" t="str">
        <f>IF(AND('Mapa final'!$AB$85="Baja",'Mapa final'!$AD$85="Menor"),CONCATENATE("R27C",'Mapa final'!$R$85),"")</f>
        <v/>
      </c>
      <c r="N182" s="50" t="str">
        <f>IF(AND('Mapa final'!$AB$86="Baja",'Mapa final'!$AD$86="Menor"),CONCATENATE("R27C",'Mapa final'!$R$86),"")</f>
        <v/>
      </c>
      <c r="O182" s="111" t="str">
        <f>IF(AND('Mapa final'!$AB$87="Baja",'Mapa final'!$AD$87="Menor"),CONCATENATE("R27C",'Mapa final'!$R$87),"")</f>
        <v/>
      </c>
      <c r="P182" s="49" t="str">
        <f>IF(AND('Mapa final'!$AB$85="Baja",'Mapa final'!$AD$85="Moderado"),CONCATENATE("R27C",'Mapa final'!$R$85),"")</f>
        <v>R27C1</v>
      </c>
      <c r="Q182" s="50" t="str">
        <f>IF(AND('Mapa final'!$AB$86="Baja",'Mapa final'!$AD$86="Moderado"),CONCATENATE("R27C",'Mapa final'!$R$86),"")</f>
        <v/>
      </c>
      <c r="R182" s="111" t="str">
        <f>IF(AND('Mapa final'!$AB$87="Baja",'Mapa final'!$AD$87="Moderado"),CONCATENATE("R27C",'Mapa final'!$R$87),"")</f>
        <v/>
      </c>
      <c r="S182" s="105" t="str">
        <f>IF(AND('Mapa final'!$AB$85="Baja",'Mapa final'!$AD$85="Mayor"),CONCATENATE("R27C",'Mapa final'!$R$85),"")</f>
        <v/>
      </c>
      <c r="T182" s="42" t="str">
        <f>IF(AND('Mapa final'!$AB$86="Baja",'Mapa final'!$AD$86="Mayor"),CONCATENATE("R27C",'Mapa final'!$R$86),"")</f>
        <v/>
      </c>
      <c r="U182" s="106" t="str">
        <f>IF(AND('Mapa final'!$AB$87="Baja",'Mapa final'!$AD$87="Mayor"),CONCATENATE("R27C",'Mapa final'!$R$87),"")</f>
        <v/>
      </c>
      <c r="V182" s="43" t="str">
        <f>IF(AND('Mapa final'!$AB$85="Baja",'Mapa final'!$AD$85="Catastrófico"),CONCATENATE("R27C",'Mapa final'!$R$85),"")</f>
        <v/>
      </c>
      <c r="W182" s="44" t="str">
        <f>IF(AND('Mapa final'!$AB$86="Baja",'Mapa final'!$AD$86="Catastrófico"),CONCATENATE("R27C",'Mapa final'!$R$86),"")</f>
        <v/>
      </c>
      <c r="X182" s="100" t="str">
        <f>IF(AND('Mapa final'!$AB$87="Baja",'Mapa final'!$AD$87="Catastrófico"),CONCATENATE("R27C",'Mapa final'!$R$87),"")</f>
        <v/>
      </c>
      <c r="Y182" s="56"/>
      <c r="Z182" s="305"/>
      <c r="AA182" s="306"/>
      <c r="AB182" s="306"/>
      <c r="AC182" s="306"/>
      <c r="AD182" s="306"/>
      <c r="AE182" s="307"/>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c r="BB182" s="56"/>
      <c r="BC182" s="56"/>
      <c r="BD182" s="56"/>
      <c r="BE182" s="56"/>
      <c r="BF182" s="56"/>
      <c r="BG182" s="56"/>
      <c r="BH182" s="56"/>
      <c r="BI182" s="56"/>
    </row>
    <row r="183" spans="1:61" ht="15" customHeight="1" x14ac:dyDescent="0.35">
      <c r="A183" s="56"/>
      <c r="B183" s="300"/>
      <c r="C183" s="300"/>
      <c r="D183" s="301"/>
      <c r="E183" s="287"/>
      <c r="F183" s="288"/>
      <c r="G183" s="288"/>
      <c r="H183" s="288"/>
      <c r="I183" s="288"/>
      <c r="J183" s="115" t="str">
        <f>IF(AND('Mapa final'!$AB$88="Baja",'Mapa final'!$AD$88="Leve"),CONCATENATE("R28C",'Mapa final'!$R$88),"")</f>
        <v/>
      </c>
      <c r="K183" s="54" t="str">
        <f>IF(AND('Mapa final'!$AB$89="Baja",'Mapa final'!$AD$89="Leve"),CONCATENATE("R28C",'Mapa final'!$R$89),"")</f>
        <v/>
      </c>
      <c r="L183" s="116" t="str">
        <f>IF(AND('Mapa final'!$AB$90="Baja",'Mapa final'!$AD$90="Leve"),CONCATENATE("R28C",'Mapa final'!$R$90),"")</f>
        <v/>
      </c>
      <c r="M183" s="49" t="str">
        <f>IF(AND('Mapa final'!$AB$88="Baja",'Mapa final'!$AD$88="Menor"),CONCATENATE("R28C",'Mapa final'!$R$88),"")</f>
        <v/>
      </c>
      <c r="N183" s="50" t="str">
        <f>IF(AND('Mapa final'!$AB$89="Baja",'Mapa final'!$AD$89="Menor"),CONCATENATE("R28C",'Mapa final'!$R$89),"")</f>
        <v/>
      </c>
      <c r="O183" s="111" t="str">
        <f>IF(AND('Mapa final'!$AB$90="Baja",'Mapa final'!$AD$90="Menor"),CONCATENATE("R28C",'Mapa final'!$R$90),"")</f>
        <v/>
      </c>
      <c r="P183" s="49" t="str">
        <f>IF(AND('Mapa final'!$AB$88="Baja",'Mapa final'!$AD$88="Moderado"),CONCATENATE("R28C",'Mapa final'!$R$88),"")</f>
        <v/>
      </c>
      <c r="Q183" s="50" t="str">
        <f>IF(AND('Mapa final'!$AB$89="Baja",'Mapa final'!$AD$89="Moderado"),CONCATENATE("R28C",'Mapa final'!$R$89),"")</f>
        <v/>
      </c>
      <c r="R183" s="111" t="str">
        <f>IF(AND('Mapa final'!$AB$90="Baja",'Mapa final'!$AD$90="Moderado"),CONCATENATE("R28C",'Mapa final'!$R$90),"")</f>
        <v/>
      </c>
      <c r="S183" s="105" t="str">
        <f>IF(AND('Mapa final'!$AB$88="Baja",'Mapa final'!$AD$88="Mayor"),CONCATENATE("R28C",'Mapa final'!$R$88),"")</f>
        <v>R28C1</v>
      </c>
      <c r="T183" s="42" t="str">
        <f>IF(AND('Mapa final'!$AB$89="Baja",'Mapa final'!$AD$89="Mayor"),CONCATENATE("R28C",'Mapa final'!$R$89),"")</f>
        <v/>
      </c>
      <c r="U183" s="106" t="str">
        <f>IF(AND('Mapa final'!$AB$90="Baja",'Mapa final'!$AD$90="Mayor"),CONCATENATE("R28C",'Mapa final'!$R$90),"")</f>
        <v/>
      </c>
      <c r="V183" s="43" t="str">
        <f>IF(AND('Mapa final'!$AB$88="Baja",'Mapa final'!$AD$88="Catastrófico"),CONCATENATE("R28C",'Mapa final'!$R$88),"")</f>
        <v/>
      </c>
      <c r="W183" s="44" t="str">
        <f>IF(AND('Mapa final'!$AB$89="Baja",'Mapa final'!$AD$89="Catastrófico"),CONCATENATE("R28C",'Mapa final'!$R$89),"")</f>
        <v/>
      </c>
      <c r="X183" s="100" t="str">
        <f>IF(AND('Mapa final'!$AB$90="Baja",'Mapa final'!$AD$90="Catastrófico"),CONCATENATE("R28C",'Mapa final'!$R$90),"")</f>
        <v/>
      </c>
      <c r="Y183" s="56"/>
      <c r="Z183" s="305"/>
      <c r="AA183" s="306"/>
      <c r="AB183" s="306"/>
      <c r="AC183" s="306"/>
      <c r="AD183" s="306"/>
      <c r="AE183" s="307"/>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c r="BB183" s="56"/>
      <c r="BC183" s="56"/>
      <c r="BD183" s="56"/>
      <c r="BE183" s="56"/>
      <c r="BF183" s="56"/>
      <c r="BG183" s="56"/>
      <c r="BH183" s="56"/>
      <c r="BI183" s="56"/>
    </row>
    <row r="184" spans="1:61" ht="15" customHeight="1" x14ac:dyDescent="0.35">
      <c r="A184" s="56"/>
      <c r="B184" s="300"/>
      <c r="C184" s="300"/>
      <c r="D184" s="301"/>
      <c r="E184" s="289"/>
      <c r="F184" s="290"/>
      <c r="G184" s="290"/>
      <c r="H184" s="290"/>
      <c r="I184" s="288"/>
      <c r="J184" s="115" t="str">
        <f>IF(AND('Mapa final'!$AB$91="Baja",'Mapa final'!$AD$91="Leve"),CONCATENATE("R29C",'Mapa final'!$R$91),"")</f>
        <v/>
      </c>
      <c r="K184" s="54" t="str">
        <f>IF(AND('Mapa final'!$AB$92="Baja",'Mapa final'!$AD$92="Leve"),CONCATENATE("R29C",'Mapa final'!$R$92),"")</f>
        <v/>
      </c>
      <c r="L184" s="116" t="str">
        <f>IF(AND('Mapa final'!$AB$93="Baja",'Mapa final'!$AD$93="Leve"),CONCATENATE("R29C",'Mapa final'!$R$93),"")</f>
        <v/>
      </c>
      <c r="M184" s="49" t="str">
        <f>IF(AND('Mapa final'!$AB$91="Baja",'Mapa final'!$AD$91="Menor"),CONCATENATE("R29C",'Mapa final'!$R$91),"")</f>
        <v/>
      </c>
      <c r="N184" s="50" t="str">
        <f>IF(AND('Mapa final'!$AB$92="Baja",'Mapa final'!$AD$92="Menor"),CONCATENATE("R29C",'Mapa final'!$R$92),"")</f>
        <v/>
      </c>
      <c r="O184" s="111" t="str">
        <f>IF(AND('Mapa final'!$AB$93="Baja",'Mapa final'!$AD$93="Menor"),CONCATENATE("R29C",'Mapa final'!$R$93),"")</f>
        <v/>
      </c>
      <c r="P184" s="49" t="str">
        <f>IF(AND('Mapa final'!$AB$91="Baja",'Mapa final'!$AD$91="Moderado"),CONCATENATE("R29C",'Mapa final'!$R$91),"")</f>
        <v/>
      </c>
      <c r="Q184" s="50" t="str">
        <f>IF(AND('Mapa final'!$AB$92="Baja",'Mapa final'!$AD$92="Moderado"),CONCATENATE("R29C",'Mapa final'!$R$92),"")</f>
        <v/>
      </c>
      <c r="R184" s="111" t="str">
        <f>IF(AND('Mapa final'!$AB$93="Baja",'Mapa final'!$AD$93="Moderado"),CONCATENATE("R29C",'Mapa final'!$R$93),"")</f>
        <v/>
      </c>
      <c r="S184" s="105" t="str">
        <f>IF(AND('Mapa final'!$AB$91="Baja",'Mapa final'!$AD$91="Mayor"),CONCATENATE("R29C",'Mapa final'!$R$91),"")</f>
        <v>R29C1</v>
      </c>
      <c r="T184" s="42" t="str">
        <f>IF(AND('Mapa final'!$AB$92="Baja",'Mapa final'!$AD$92="Mayor"),CONCATENATE("R29C",'Mapa final'!$R$92),"")</f>
        <v/>
      </c>
      <c r="U184" s="106" t="str">
        <f>IF(AND('Mapa final'!$AB$93="Baja",'Mapa final'!$AD$93="Mayor"),CONCATENATE("R29C",'Mapa final'!$R$93),"")</f>
        <v/>
      </c>
      <c r="V184" s="43" t="str">
        <f>IF(AND('Mapa final'!$AB$91="Baja",'Mapa final'!$AD$91="Catastrófico"),CONCATENATE("R29C",'Mapa final'!$R$91),"")</f>
        <v/>
      </c>
      <c r="W184" s="44" t="str">
        <f>IF(AND('Mapa final'!$AB$92="Baja",'Mapa final'!$AD$92="Catastrófico"),CONCATENATE("R29C",'Mapa final'!$R$92),"")</f>
        <v/>
      </c>
      <c r="X184" s="100" t="str">
        <f>IF(AND('Mapa final'!$AB$93="Baja",'Mapa final'!$AD$93="Catastrófico"),CONCATENATE("R29C",'Mapa final'!$R$93),"")</f>
        <v/>
      </c>
      <c r="Y184" s="56"/>
      <c r="Z184" s="305"/>
      <c r="AA184" s="306"/>
      <c r="AB184" s="306"/>
      <c r="AC184" s="306"/>
      <c r="AD184" s="306"/>
      <c r="AE184" s="307"/>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c r="BC184" s="56"/>
      <c r="BD184" s="56"/>
      <c r="BE184" s="56"/>
      <c r="BF184" s="56"/>
      <c r="BG184" s="56"/>
      <c r="BH184" s="56"/>
      <c r="BI184" s="56"/>
    </row>
    <row r="185" spans="1:61" ht="15" customHeight="1" x14ac:dyDescent="0.35">
      <c r="A185" s="56"/>
      <c r="B185" s="300"/>
      <c r="C185" s="300"/>
      <c r="D185" s="301"/>
      <c r="E185" s="289"/>
      <c r="F185" s="290"/>
      <c r="G185" s="290"/>
      <c r="H185" s="290"/>
      <c r="I185" s="288"/>
      <c r="J185" s="115" t="str">
        <f>IF(AND('Mapa final'!$AB$94="Baja",'Mapa final'!$AD$94="Leve"),CONCATENATE("R30C",'Mapa final'!$R$94),"")</f>
        <v/>
      </c>
      <c r="K185" s="54" t="str">
        <f>IF(AND('Mapa final'!$AB$95="Baja",'Mapa final'!$AD$95="Leve"),CONCATENATE("R30C",'Mapa final'!$R$95),"")</f>
        <v/>
      </c>
      <c r="L185" s="116" t="str">
        <f>IF(AND('Mapa final'!$AB$96="Baja",'Mapa final'!$AD$96="Leve"),CONCATENATE("R30C",'Mapa final'!$R$96),"")</f>
        <v/>
      </c>
      <c r="M185" s="49" t="str">
        <f>IF(AND('Mapa final'!$AB$94="Baja",'Mapa final'!$AD$94="Menor"),CONCATENATE("R30C",'Mapa final'!$R$94),"")</f>
        <v/>
      </c>
      <c r="N185" s="50" t="str">
        <f>IF(AND('Mapa final'!$AB$95="Baja",'Mapa final'!$AD$95="Menor"),CONCATENATE("R30C",'Mapa final'!$R$95),"")</f>
        <v/>
      </c>
      <c r="O185" s="111" t="str">
        <f>IF(AND('Mapa final'!$AB$96="Baja",'Mapa final'!$AD$96="Menor"),CONCATENATE("R30C",'Mapa final'!$R$96),"")</f>
        <v/>
      </c>
      <c r="P185" s="49" t="str">
        <f>IF(AND('Mapa final'!$AB$94="Baja",'Mapa final'!$AD$94="Moderado"),CONCATENATE("R30C",'Mapa final'!$R$94),"")</f>
        <v/>
      </c>
      <c r="Q185" s="50" t="str">
        <f>IF(AND('Mapa final'!$AB$95="Baja",'Mapa final'!$AD$95="Moderado"),CONCATENATE("R30C",'Mapa final'!$R$95),"")</f>
        <v/>
      </c>
      <c r="R185" s="111" t="str">
        <f>IF(AND('Mapa final'!$AB$96="Baja",'Mapa final'!$AD$96="Moderado"),CONCATENATE("R30C",'Mapa final'!$R$96),"")</f>
        <v/>
      </c>
      <c r="S185" s="105" t="str">
        <f>IF(AND('Mapa final'!$AB$94="Baja",'Mapa final'!$AD$94="Mayor"),CONCATENATE("R30C",'Mapa final'!$R$94),"")</f>
        <v/>
      </c>
      <c r="T185" s="42" t="str">
        <f>IF(AND('Mapa final'!$AB$95="Baja",'Mapa final'!$AD$95="Mayor"),CONCATENATE("R30C",'Mapa final'!$R$95),"")</f>
        <v>R30C2</v>
      </c>
      <c r="U185" s="106" t="str">
        <f>IF(AND('Mapa final'!$AB$96="Baja",'Mapa final'!$AD$96="Mayor"),CONCATENATE("R30C",'Mapa final'!$R$96),"")</f>
        <v/>
      </c>
      <c r="V185" s="43" t="str">
        <f>IF(AND('Mapa final'!$AB$94="Baja",'Mapa final'!$AD$94="Catastrófico"),CONCATENATE("R30C",'Mapa final'!$R$94),"")</f>
        <v/>
      </c>
      <c r="W185" s="44" t="str">
        <f>IF(AND('Mapa final'!$AB$95="Baja",'Mapa final'!$AD$95="Catastrófico"),CONCATENATE("R30C",'Mapa final'!$R$95),"")</f>
        <v/>
      </c>
      <c r="X185" s="100" t="str">
        <f>IF(AND('Mapa final'!$AB$96="Baja",'Mapa final'!$AD$96="Catastrófico"),CONCATENATE("R30C",'Mapa final'!$R$96),"")</f>
        <v/>
      </c>
      <c r="Y185" s="56"/>
      <c r="Z185" s="305"/>
      <c r="AA185" s="306"/>
      <c r="AB185" s="306"/>
      <c r="AC185" s="306"/>
      <c r="AD185" s="306"/>
      <c r="AE185" s="307"/>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c r="BC185" s="56"/>
      <c r="BD185" s="56"/>
      <c r="BE185" s="56"/>
      <c r="BF185" s="56"/>
      <c r="BG185" s="56"/>
      <c r="BH185" s="56"/>
      <c r="BI185" s="56"/>
    </row>
    <row r="186" spans="1:61" ht="15" customHeight="1" x14ac:dyDescent="0.35">
      <c r="A186" s="56"/>
      <c r="B186" s="300"/>
      <c r="C186" s="300"/>
      <c r="D186" s="301"/>
      <c r="E186" s="289"/>
      <c r="F186" s="290"/>
      <c r="G186" s="290"/>
      <c r="H186" s="290"/>
      <c r="I186" s="288"/>
      <c r="J186" s="115" t="str">
        <f>IF(AND('Mapa final'!$AB$97="Baja",'Mapa final'!$AD$97="Leve"),CONCATENATE("R31C",'Mapa final'!$R$97),"")</f>
        <v/>
      </c>
      <c r="K186" s="54" t="str">
        <f>IF(AND('Mapa final'!$AB$98="Baja",'Mapa final'!$AD$98="Leve"),CONCATENATE("R31C",'Mapa final'!$R$98),"")</f>
        <v/>
      </c>
      <c r="L186" s="116" t="str">
        <f>IF(AND('Mapa final'!$AB$99="Baja",'Mapa final'!$AD$99="Leve"),CONCATENATE("R31C",'Mapa final'!$R$99),"")</f>
        <v/>
      </c>
      <c r="M186" s="49" t="str">
        <f>IF(AND('Mapa final'!$AB$97="Baja",'Mapa final'!$AD$97="Menor"),CONCATENATE("R31C",'Mapa final'!$R$97),"")</f>
        <v/>
      </c>
      <c r="N186" s="50" t="str">
        <f>IF(AND('Mapa final'!$AB$98="Baja",'Mapa final'!$AD$98="Menor"),CONCATENATE("R31C",'Mapa final'!$R$98),"")</f>
        <v/>
      </c>
      <c r="O186" s="111" t="str">
        <f>IF(AND('Mapa final'!$AB$99="Baja",'Mapa final'!$AD$99="Menor"),CONCATENATE("R31C",'Mapa final'!$R$99),"")</f>
        <v/>
      </c>
      <c r="P186" s="49" t="str">
        <f>IF(AND('Mapa final'!$AB$97="Baja",'Mapa final'!$AD$97="Moderado"),CONCATENATE("R31C",'Mapa final'!$R$97),"")</f>
        <v>R31C1</v>
      </c>
      <c r="Q186" s="50" t="str">
        <f>IF(AND('Mapa final'!$AB$98="Baja",'Mapa final'!$AD$98="Moderado"),CONCATENATE("R31C",'Mapa final'!$R$98),"")</f>
        <v/>
      </c>
      <c r="R186" s="111" t="str">
        <f>IF(AND('Mapa final'!$AB$99="Baja",'Mapa final'!$AD$99="Moderado"),CONCATENATE("R31C",'Mapa final'!$R$99),"")</f>
        <v/>
      </c>
      <c r="S186" s="105" t="str">
        <f>IF(AND('Mapa final'!$AB$97="Baja",'Mapa final'!$AD$97="Mayor"),CONCATENATE("R31C",'Mapa final'!$R$97),"")</f>
        <v/>
      </c>
      <c r="T186" s="42" t="str">
        <f>IF(AND('Mapa final'!$AB$98="Baja",'Mapa final'!$AD$98="Mayor"),CONCATENATE("R31C",'Mapa final'!$R$98),"")</f>
        <v/>
      </c>
      <c r="U186" s="106" t="str">
        <f>IF(AND('Mapa final'!$AB$99="Baja",'Mapa final'!$AD$99="Mayor"),CONCATENATE("R31C",'Mapa final'!$R$99),"")</f>
        <v/>
      </c>
      <c r="V186" s="43" t="str">
        <f>IF(AND('Mapa final'!$AB$97="Baja",'Mapa final'!$AD$97="Catastrófico"),CONCATENATE("R31C",'Mapa final'!$R$97),"")</f>
        <v/>
      </c>
      <c r="W186" s="44" t="str">
        <f>IF(AND('Mapa final'!$AB$98="Baja",'Mapa final'!$AD$98="Catastrófico"),CONCATENATE("R31C",'Mapa final'!$R$98),"")</f>
        <v/>
      </c>
      <c r="X186" s="100" t="str">
        <f>IF(AND('Mapa final'!$AB$99="Baja",'Mapa final'!$AD$99="Catastrófico"),CONCATENATE("R31C",'Mapa final'!$R$99),"")</f>
        <v/>
      </c>
      <c r="Y186" s="56"/>
      <c r="Z186" s="305"/>
      <c r="AA186" s="306"/>
      <c r="AB186" s="306"/>
      <c r="AC186" s="306"/>
      <c r="AD186" s="306"/>
      <c r="AE186" s="307"/>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c r="BB186" s="56"/>
      <c r="BC186" s="56"/>
      <c r="BD186" s="56"/>
      <c r="BE186" s="56"/>
      <c r="BF186" s="56"/>
      <c r="BG186" s="56"/>
      <c r="BH186" s="56"/>
      <c r="BI186" s="56"/>
    </row>
    <row r="187" spans="1:61" ht="15" customHeight="1" x14ac:dyDescent="0.35">
      <c r="A187" s="56"/>
      <c r="B187" s="300"/>
      <c r="C187" s="300"/>
      <c r="D187" s="301"/>
      <c r="E187" s="289"/>
      <c r="F187" s="290"/>
      <c r="G187" s="290"/>
      <c r="H187" s="290"/>
      <c r="I187" s="288"/>
      <c r="J187" s="115" t="e">
        <f>IF(AND('Mapa final'!#REF!="Baja",'Mapa final'!#REF!="Leve"),CONCATENATE("R32C",'Mapa final'!#REF!),"")</f>
        <v>#REF!</v>
      </c>
      <c r="K187" s="54" t="e">
        <f>IF(AND('Mapa final'!#REF!="Baja",'Mapa final'!#REF!="Leve"),CONCATENATE("R32C",'Mapa final'!#REF!),"")</f>
        <v>#REF!</v>
      </c>
      <c r="L187" s="116" t="e">
        <f>IF(AND('Mapa final'!#REF!="Baja",'Mapa final'!#REF!="Leve"),CONCATENATE("R32C",'Mapa final'!#REF!),"")</f>
        <v>#REF!</v>
      </c>
      <c r="M187" s="49" t="e">
        <f>IF(AND('Mapa final'!#REF!="Baja",'Mapa final'!#REF!="Menor"),CONCATENATE("R32C",'Mapa final'!#REF!),"")</f>
        <v>#REF!</v>
      </c>
      <c r="N187" s="50" t="e">
        <f>IF(AND('Mapa final'!#REF!="Baja",'Mapa final'!#REF!="Menor"),CONCATENATE("R32C",'Mapa final'!#REF!),"")</f>
        <v>#REF!</v>
      </c>
      <c r="O187" s="111" t="e">
        <f>IF(AND('Mapa final'!#REF!="Baja",'Mapa final'!#REF!="Menor"),CONCATENATE("R32C",'Mapa final'!#REF!),"")</f>
        <v>#REF!</v>
      </c>
      <c r="P187" s="49" t="e">
        <f>IF(AND('Mapa final'!#REF!="Baja",'Mapa final'!#REF!="Moderado"),CONCATENATE("R32C",'Mapa final'!#REF!),"")</f>
        <v>#REF!</v>
      </c>
      <c r="Q187" s="50" t="e">
        <f>IF(AND('Mapa final'!#REF!="Baja",'Mapa final'!#REF!="Moderado"),CONCATENATE("R32C",'Mapa final'!#REF!),"")</f>
        <v>#REF!</v>
      </c>
      <c r="R187" s="111" t="e">
        <f>IF(AND('Mapa final'!#REF!="Baja",'Mapa final'!#REF!="Moderado"),CONCATENATE("R32C",'Mapa final'!#REF!),"")</f>
        <v>#REF!</v>
      </c>
      <c r="S187" s="105" t="e">
        <f>IF(AND('Mapa final'!#REF!="Baja",'Mapa final'!#REF!="Mayor"),CONCATENATE("R32C",'Mapa final'!#REF!),"")</f>
        <v>#REF!</v>
      </c>
      <c r="T187" s="42" t="e">
        <f>IF(AND('Mapa final'!#REF!="Baja",'Mapa final'!#REF!="Mayor"),CONCATENATE("R32C",'Mapa final'!#REF!),"")</f>
        <v>#REF!</v>
      </c>
      <c r="U187" s="106" t="e">
        <f>IF(AND('Mapa final'!#REF!="Baja",'Mapa final'!#REF!="Mayor"),CONCATENATE("R32C",'Mapa final'!#REF!),"")</f>
        <v>#REF!</v>
      </c>
      <c r="V187" s="43" t="e">
        <f>IF(AND('Mapa final'!#REF!="Baja",'Mapa final'!#REF!="Catastrófico"),CONCATENATE("R32C",'Mapa final'!#REF!),"")</f>
        <v>#REF!</v>
      </c>
      <c r="W187" s="44" t="e">
        <f>IF(AND('Mapa final'!#REF!="Baja",'Mapa final'!#REF!="Catastrófico"),CONCATENATE("R32C",'Mapa final'!#REF!),"")</f>
        <v>#REF!</v>
      </c>
      <c r="X187" s="100" t="e">
        <f>IF(AND('Mapa final'!#REF!="Baja",'Mapa final'!#REF!="Catastrófico"),CONCATENATE("R32C",'Mapa final'!#REF!),"")</f>
        <v>#REF!</v>
      </c>
      <c r="Y187" s="56"/>
      <c r="Z187" s="305"/>
      <c r="AA187" s="306"/>
      <c r="AB187" s="306"/>
      <c r="AC187" s="306"/>
      <c r="AD187" s="306"/>
      <c r="AE187" s="307"/>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c r="BB187" s="56"/>
      <c r="BC187" s="56"/>
      <c r="BD187" s="56"/>
      <c r="BE187" s="56"/>
      <c r="BF187" s="56"/>
      <c r="BG187" s="56"/>
      <c r="BH187" s="56"/>
      <c r="BI187" s="56"/>
    </row>
    <row r="188" spans="1:61" ht="15" customHeight="1" x14ac:dyDescent="0.35">
      <c r="A188" s="56"/>
      <c r="B188" s="300"/>
      <c r="C188" s="300"/>
      <c r="D188" s="301"/>
      <c r="E188" s="289"/>
      <c r="F188" s="290"/>
      <c r="G188" s="290"/>
      <c r="H188" s="290"/>
      <c r="I188" s="288"/>
      <c r="J188" s="115" t="str">
        <f>IF(AND('Mapa final'!$AB$100="Baja",'Mapa final'!$AD$100="Leve"),CONCATENATE("R33C",'Mapa final'!$R$100),"")</f>
        <v/>
      </c>
      <c r="K188" s="54" t="str">
        <f>IF(AND('Mapa final'!$AB$101="Baja",'Mapa final'!$AD$101="Leve"),CONCATENATE("R33C",'Mapa final'!$R$101),"")</f>
        <v/>
      </c>
      <c r="L188" s="116" t="str">
        <f>IF(AND('Mapa final'!$AB$102="Baja",'Mapa final'!$AD$102="Leve"),CONCATENATE("R33C",'Mapa final'!$R$102),"")</f>
        <v/>
      </c>
      <c r="M188" s="49" t="str">
        <f>IF(AND('Mapa final'!$AB$100="Baja",'Mapa final'!$AD$100="Menor"),CONCATENATE("R33C",'Mapa final'!$R$100),"")</f>
        <v/>
      </c>
      <c r="N188" s="50" t="str">
        <f>IF(AND('Mapa final'!$AB$101="Baja",'Mapa final'!$AD$101="Menor"),CONCATENATE("R33C",'Mapa final'!$R$101),"")</f>
        <v/>
      </c>
      <c r="O188" s="111" t="str">
        <f>IF(AND('Mapa final'!$AB$102="Baja",'Mapa final'!$AD$102="Menor"),CONCATENATE("R33C",'Mapa final'!$R$102),"")</f>
        <v/>
      </c>
      <c r="P188" s="49" t="str">
        <f>IF(AND('Mapa final'!$AB$100="Baja",'Mapa final'!$AD$100="Moderado"),CONCATENATE("R33C",'Mapa final'!$R$100),"")</f>
        <v/>
      </c>
      <c r="Q188" s="50" t="str">
        <f>IF(AND('Mapa final'!$AB$101="Baja",'Mapa final'!$AD$101="Moderado"),CONCATENATE("R33C",'Mapa final'!$R$101),"")</f>
        <v/>
      </c>
      <c r="R188" s="111" t="str">
        <f>IF(AND('Mapa final'!$AB$102="Baja",'Mapa final'!$AD$102="Moderado"),CONCATENATE("R33C",'Mapa final'!$R$102),"")</f>
        <v/>
      </c>
      <c r="S188" s="105" t="str">
        <f>IF(AND('Mapa final'!$AB$100="Baja",'Mapa final'!$AD$100="Mayor"),CONCATENATE("R33C",'Mapa final'!$R$100),"")</f>
        <v/>
      </c>
      <c r="T188" s="42" t="str">
        <f>IF(AND('Mapa final'!$AB$101="Baja",'Mapa final'!$AD$101="Mayor"),CONCATENATE("R33C",'Mapa final'!$R$101),"")</f>
        <v/>
      </c>
      <c r="U188" s="106" t="str">
        <f>IF(AND('Mapa final'!$AB$102="Baja",'Mapa final'!$AD$102="Mayor"),CONCATENATE("R33C",'Mapa final'!$R$102),"")</f>
        <v/>
      </c>
      <c r="V188" s="43" t="str">
        <f>IF(AND('Mapa final'!$AB$100="Baja",'Mapa final'!$AD$100="Catastrófico"),CONCATENATE("R33C",'Mapa final'!$R$100),"")</f>
        <v/>
      </c>
      <c r="W188" s="44" t="str">
        <f>IF(AND('Mapa final'!$AB$101="Baja",'Mapa final'!$AD$101="Catastrófico"),CONCATENATE("R33C",'Mapa final'!$R$101),"")</f>
        <v/>
      </c>
      <c r="X188" s="100" t="str">
        <f>IF(AND('Mapa final'!$AB$102="Baja",'Mapa final'!$AD$102="Catastrófico"),CONCATENATE("R33C",'Mapa final'!$R$102),"")</f>
        <v/>
      </c>
      <c r="Y188" s="56"/>
      <c r="Z188" s="305"/>
      <c r="AA188" s="306"/>
      <c r="AB188" s="306"/>
      <c r="AC188" s="306"/>
      <c r="AD188" s="306"/>
      <c r="AE188" s="307"/>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c r="BB188" s="56"/>
      <c r="BC188" s="56"/>
      <c r="BD188" s="56"/>
      <c r="BE188" s="56"/>
      <c r="BF188" s="56"/>
      <c r="BG188" s="56"/>
      <c r="BH188" s="56"/>
      <c r="BI188" s="56"/>
    </row>
    <row r="189" spans="1:61" ht="15" customHeight="1" x14ac:dyDescent="0.35">
      <c r="A189" s="56"/>
      <c r="B189" s="300"/>
      <c r="C189" s="300"/>
      <c r="D189" s="301"/>
      <c r="E189" s="289"/>
      <c r="F189" s="290"/>
      <c r="G189" s="290"/>
      <c r="H189" s="290"/>
      <c r="I189" s="288"/>
      <c r="J189" s="115" t="str">
        <f>IF(AND('Mapa final'!$AB$103="Baja",'Mapa final'!$AD$103="Leve"),CONCATENATE("R34C",'Mapa final'!$R$103),"")</f>
        <v/>
      </c>
      <c r="K189" s="54" t="str">
        <f>IF(AND('Mapa final'!$AB$104="Baja",'Mapa final'!$AD$104="Leve"),CONCATENATE("R34C",'Mapa final'!$R$104),"")</f>
        <v/>
      </c>
      <c r="L189" s="116" t="str">
        <f>IF(AND('Mapa final'!$AB$105="Baja",'Mapa final'!$AD$105="Leve"),CONCATENATE("R34C",'Mapa final'!$R$105),"")</f>
        <v/>
      </c>
      <c r="M189" s="49" t="str">
        <f>IF(AND('Mapa final'!$AB$103="Baja",'Mapa final'!$AD$103="Menor"),CONCATENATE("R34C",'Mapa final'!$R$103),"")</f>
        <v/>
      </c>
      <c r="N189" s="50" t="str">
        <f>IF(AND('Mapa final'!$AB$104="Baja",'Mapa final'!$AD$104="Menor"),CONCATENATE("R34C",'Mapa final'!$R$104),"")</f>
        <v/>
      </c>
      <c r="O189" s="111" t="str">
        <f>IF(AND('Mapa final'!$AB$105="Baja",'Mapa final'!$AD$105="Menor"),CONCATENATE("R34C",'Mapa final'!$R$105),"")</f>
        <v/>
      </c>
      <c r="P189" s="49" t="str">
        <f>IF(AND('Mapa final'!$AB$103="Baja",'Mapa final'!$AD$103="Moderado"),CONCATENATE("R34C",'Mapa final'!$R$103),"")</f>
        <v/>
      </c>
      <c r="Q189" s="50" t="str">
        <f>IF(AND('Mapa final'!$AB$104="Baja",'Mapa final'!$AD$104="Moderado"),CONCATENATE("R34C",'Mapa final'!$R$104),"")</f>
        <v>R34C2</v>
      </c>
      <c r="R189" s="111" t="str">
        <f>IF(AND('Mapa final'!$AB$105="Baja",'Mapa final'!$AD$105="Moderado"),CONCATENATE("R34C",'Mapa final'!$R$105),"")</f>
        <v/>
      </c>
      <c r="S189" s="105" t="str">
        <f>IF(AND('Mapa final'!$AB$103="Baja",'Mapa final'!$AD$103="Mayor"),CONCATENATE("R34C",'Mapa final'!$R$103),"")</f>
        <v/>
      </c>
      <c r="T189" s="42" t="str">
        <f>IF(AND('Mapa final'!$AB$104="Baja",'Mapa final'!$AD$104="Mayor"),CONCATENATE("R34C",'Mapa final'!$R$104),"")</f>
        <v/>
      </c>
      <c r="U189" s="106" t="str">
        <f>IF(AND('Mapa final'!$AB$105="Baja",'Mapa final'!$AD$105="Mayor"),CONCATENATE("R34C",'Mapa final'!$R$105),"")</f>
        <v/>
      </c>
      <c r="V189" s="43" t="str">
        <f>IF(AND('Mapa final'!$AB$103="Baja",'Mapa final'!$AD$103="Catastrófico"),CONCATENATE("R34C",'Mapa final'!$R$103),"")</f>
        <v/>
      </c>
      <c r="W189" s="44" t="str">
        <f>IF(AND('Mapa final'!$AB$104="Baja",'Mapa final'!$AD$104="Catastrófico"),CONCATENATE("R34C",'Mapa final'!$R$104),"")</f>
        <v/>
      </c>
      <c r="X189" s="100" t="str">
        <f>IF(AND('Mapa final'!$AB$105="Baja",'Mapa final'!$AD$105="Catastrófico"),CONCATENATE("R34C",'Mapa final'!$R$105),"")</f>
        <v/>
      </c>
      <c r="Y189" s="56"/>
      <c r="Z189" s="305"/>
      <c r="AA189" s="306"/>
      <c r="AB189" s="306"/>
      <c r="AC189" s="306"/>
      <c r="AD189" s="306"/>
      <c r="AE189" s="307"/>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c r="BB189" s="56"/>
      <c r="BC189" s="56"/>
      <c r="BD189" s="56"/>
      <c r="BE189" s="56"/>
      <c r="BF189" s="56"/>
      <c r="BG189" s="56"/>
      <c r="BH189" s="56"/>
      <c r="BI189" s="56"/>
    </row>
    <row r="190" spans="1:61" ht="15" customHeight="1" x14ac:dyDescent="0.35">
      <c r="A190" s="56"/>
      <c r="B190" s="300"/>
      <c r="C190" s="300"/>
      <c r="D190" s="301"/>
      <c r="E190" s="289"/>
      <c r="F190" s="290"/>
      <c r="G190" s="290"/>
      <c r="H190" s="290"/>
      <c r="I190" s="288"/>
      <c r="J190" s="115" t="str">
        <f>IF(AND('Mapa final'!$AB$106="Baja",'Mapa final'!$AD$106="Leve"),CONCATENATE("R35C",'Mapa final'!$R$106),"")</f>
        <v/>
      </c>
      <c r="K190" s="54" t="str">
        <f>IF(AND('Mapa final'!$AB$107="Baja",'Mapa final'!$AD$107="Leve"),CONCATENATE("R35C",'Mapa final'!$R$107),"")</f>
        <v/>
      </c>
      <c r="L190" s="116" t="str">
        <f>IF(AND('Mapa final'!$AB$108="Baja",'Mapa final'!$AD$108="Leve"),CONCATENATE("R35C",'Mapa final'!$R$108),"")</f>
        <v/>
      </c>
      <c r="M190" s="49" t="str">
        <f>IF(AND('Mapa final'!$AB$106="Baja",'Mapa final'!$AD$106="Menor"),CONCATENATE("R35C",'Mapa final'!$R$106),"")</f>
        <v/>
      </c>
      <c r="N190" s="50" t="str">
        <f>IF(AND('Mapa final'!$AB$107="Baja",'Mapa final'!$AD$107="Menor"),CONCATENATE("R35C",'Mapa final'!$R$107),"")</f>
        <v/>
      </c>
      <c r="O190" s="111" t="str">
        <f>IF(AND('Mapa final'!$AB$108="Baja",'Mapa final'!$AD$108="Menor"),CONCATENATE("R35C",'Mapa final'!$R$108),"")</f>
        <v/>
      </c>
      <c r="P190" s="49" t="str">
        <f>IF(AND('Mapa final'!$AB$106="Baja",'Mapa final'!$AD$106="Moderado"),CONCATENATE("R35C",'Mapa final'!$R$106),"")</f>
        <v>R35C1</v>
      </c>
      <c r="Q190" s="50" t="str">
        <f>IF(AND('Mapa final'!$AB$107="Baja",'Mapa final'!$AD$107="Moderado"),CONCATENATE("R35C",'Mapa final'!$R$107),"")</f>
        <v>R35C2</v>
      </c>
      <c r="R190" s="111" t="str">
        <f>IF(AND('Mapa final'!$AB$108="Baja",'Mapa final'!$AD$108="Moderado"),CONCATENATE("R35C",'Mapa final'!$R$108),"")</f>
        <v/>
      </c>
      <c r="S190" s="105" t="str">
        <f>IF(AND('Mapa final'!$AB$106="Baja",'Mapa final'!$AD$106="Mayor"),CONCATENATE("R35C",'Mapa final'!$R$106),"")</f>
        <v/>
      </c>
      <c r="T190" s="42" t="str">
        <f>IF(AND('Mapa final'!$AB$107="Baja",'Mapa final'!$AD$107="Mayor"),CONCATENATE("R35C",'Mapa final'!$R$107),"")</f>
        <v/>
      </c>
      <c r="U190" s="106" t="str">
        <f>IF(AND('Mapa final'!$AB$108="Baja",'Mapa final'!$AD$108="Mayor"),CONCATENATE("R35C",'Mapa final'!$R$108),"")</f>
        <v/>
      </c>
      <c r="V190" s="43" t="str">
        <f>IF(AND('Mapa final'!$AB$106="Baja",'Mapa final'!$AD$106="Catastrófico"),CONCATENATE("R35C",'Mapa final'!$R$106),"")</f>
        <v/>
      </c>
      <c r="W190" s="44" t="str">
        <f>IF(AND('Mapa final'!$AB$107="Baja",'Mapa final'!$AD$107="Catastrófico"),CONCATENATE("R35C",'Mapa final'!$R$107),"")</f>
        <v/>
      </c>
      <c r="X190" s="100" t="str">
        <f>IF(AND('Mapa final'!$AB$108="Baja",'Mapa final'!$AD$108="Catastrófico"),CONCATENATE("R35C",'Mapa final'!$R$108),"")</f>
        <v/>
      </c>
      <c r="Y190" s="56"/>
      <c r="Z190" s="305"/>
      <c r="AA190" s="306"/>
      <c r="AB190" s="306"/>
      <c r="AC190" s="306"/>
      <c r="AD190" s="306"/>
      <c r="AE190" s="307"/>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c r="BB190" s="56"/>
      <c r="BC190" s="56"/>
      <c r="BD190" s="56"/>
      <c r="BE190" s="56"/>
      <c r="BF190" s="56"/>
      <c r="BG190" s="56"/>
      <c r="BH190" s="56"/>
      <c r="BI190" s="56"/>
    </row>
    <row r="191" spans="1:61" ht="15" customHeight="1" x14ac:dyDescent="0.35">
      <c r="A191" s="56"/>
      <c r="B191" s="300"/>
      <c r="C191" s="300"/>
      <c r="D191" s="301"/>
      <c r="E191" s="289"/>
      <c r="F191" s="290"/>
      <c r="G191" s="290"/>
      <c r="H191" s="290"/>
      <c r="I191" s="288"/>
      <c r="J191" s="115" t="str">
        <f>IF(AND('Mapa final'!$AB$109="Baja",'Mapa final'!$AD$109="Leve"),CONCATENATE("R36C",'Mapa final'!$R$109),"")</f>
        <v/>
      </c>
      <c r="K191" s="54" t="str">
        <f>IF(AND('Mapa final'!$AB$110="Baja",'Mapa final'!$AD$110="Leve"),CONCATENATE("R36C",'Mapa final'!$R$110),"")</f>
        <v/>
      </c>
      <c r="L191" s="116" t="str">
        <f>IF(AND('Mapa final'!$AB$111="Baja",'Mapa final'!$AD$111="Leve"),CONCATENATE("R36C",'Mapa final'!$R$111),"")</f>
        <v/>
      </c>
      <c r="M191" s="49" t="str">
        <f>IF(AND('Mapa final'!$AB$109="Baja",'Mapa final'!$AD$109="Menor"),CONCATENATE("R36C",'Mapa final'!$R$109),"")</f>
        <v/>
      </c>
      <c r="N191" s="50" t="str">
        <f>IF(AND('Mapa final'!$AB$110="Baja",'Mapa final'!$AD$110="Menor"),CONCATENATE("R36C",'Mapa final'!$R$110),"")</f>
        <v/>
      </c>
      <c r="O191" s="111" t="str">
        <f>IF(AND('Mapa final'!$AB$111="Baja",'Mapa final'!$AD$111="Menor"),CONCATENATE("R36C",'Mapa final'!$R$111),"")</f>
        <v/>
      </c>
      <c r="P191" s="49" t="str">
        <f>IF(AND('Mapa final'!$AB$109="Baja",'Mapa final'!$AD$109="Moderado"),CONCATENATE("R36C",'Mapa final'!$R$109),"")</f>
        <v/>
      </c>
      <c r="Q191" s="50" t="str">
        <f>IF(AND('Mapa final'!$AB$110="Baja",'Mapa final'!$AD$110="Moderado"),CONCATENATE("R36C",'Mapa final'!$R$110),"")</f>
        <v/>
      </c>
      <c r="R191" s="111" t="str">
        <f>IF(AND('Mapa final'!$AB$111="Baja",'Mapa final'!$AD$111="Moderado"),CONCATENATE("R36C",'Mapa final'!$R$111),"")</f>
        <v/>
      </c>
      <c r="S191" s="105" t="str">
        <f>IF(AND('Mapa final'!$AB$109="Baja",'Mapa final'!$AD$109="Mayor"),CONCATENATE("R36C",'Mapa final'!$R$109),"")</f>
        <v>R36C1</v>
      </c>
      <c r="T191" s="42" t="str">
        <f>IF(AND('Mapa final'!$AB$110="Baja",'Mapa final'!$AD$110="Mayor"),CONCATENATE("R36C",'Mapa final'!$R$110),"")</f>
        <v>R36C2</v>
      </c>
      <c r="U191" s="106" t="str">
        <f>IF(AND('Mapa final'!$AB$111="Baja",'Mapa final'!$AD$111="Mayor"),CONCATENATE("R36C",'Mapa final'!$R$111),"")</f>
        <v/>
      </c>
      <c r="V191" s="43" t="str">
        <f>IF(AND('Mapa final'!$AB$109="Baja",'Mapa final'!$AD$109="Catastrófico"),CONCATENATE("R36C",'Mapa final'!$R$109),"")</f>
        <v/>
      </c>
      <c r="W191" s="44" t="str">
        <f>IF(AND('Mapa final'!$AB$110="Baja",'Mapa final'!$AD$110="Catastrófico"),CONCATENATE("R36C",'Mapa final'!$R$110),"")</f>
        <v/>
      </c>
      <c r="X191" s="100" t="str">
        <f>IF(AND('Mapa final'!$AB$111="Baja",'Mapa final'!$AD$111="Catastrófico"),CONCATENATE("R36C",'Mapa final'!$R$111),"")</f>
        <v/>
      </c>
      <c r="Y191" s="56"/>
      <c r="Z191" s="305"/>
      <c r="AA191" s="306"/>
      <c r="AB191" s="306"/>
      <c r="AC191" s="306"/>
      <c r="AD191" s="306"/>
      <c r="AE191" s="307"/>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c r="BB191" s="56"/>
      <c r="BC191" s="56"/>
      <c r="BD191" s="56"/>
      <c r="BE191" s="56"/>
      <c r="BF191" s="56"/>
      <c r="BG191" s="56"/>
      <c r="BH191" s="56"/>
      <c r="BI191" s="56"/>
    </row>
    <row r="192" spans="1:61" ht="15" customHeight="1" x14ac:dyDescent="0.35">
      <c r="A192" s="56"/>
      <c r="B192" s="300"/>
      <c r="C192" s="300"/>
      <c r="D192" s="301"/>
      <c r="E192" s="289"/>
      <c r="F192" s="290"/>
      <c r="G192" s="290"/>
      <c r="H192" s="290"/>
      <c r="I192" s="288"/>
      <c r="J192" s="115" t="str">
        <f>IF(AND('Mapa final'!$AB$112="Baja",'Mapa final'!$AD$112="Leve"),CONCATENATE("R37C",'Mapa final'!$R$112),"")</f>
        <v/>
      </c>
      <c r="K192" s="54" t="str">
        <f>IF(AND('Mapa final'!$AB$113="Baja",'Mapa final'!$AD$113="Leve"),CONCATENATE("R37C",'Mapa final'!$R$113),"")</f>
        <v/>
      </c>
      <c r="L192" s="116" t="str">
        <f>IF(AND('Mapa final'!$AB$114="Baja",'Mapa final'!$AD$114="Leve"),CONCATENATE("R37C",'Mapa final'!$R$114),"")</f>
        <v/>
      </c>
      <c r="M192" s="49" t="str">
        <f>IF(AND('Mapa final'!$AB$112="Baja",'Mapa final'!$AD$112="Menor"),CONCATENATE("R37C",'Mapa final'!$R$112),"")</f>
        <v>R37C1</v>
      </c>
      <c r="N192" s="50" t="str">
        <f>IF(AND('Mapa final'!$AB$113="Baja",'Mapa final'!$AD$113="Menor"),CONCATENATE("R37C",'Mapa final'!$R$113),"")</f>
        <v>R37C2</v>
      </c>
      <c r="O192" s="111" t="str">
        <f>IF(AND('Mapa final'!$AB$114="Baja",'Mapa final'!$AD$114="Menor"),CONCATENATE("R37C",'Mapa final'!$R$114),"")</f>
        <v/>
      </c>
      <c r="P192" s="49" t="str">
        <f>IF(AND('Mapa final'!$AB$112="Baja",'Mapa final'!$AD$112="Moderado"),CONCATENATE("R37C",'Mapa final'!$R$112),"")</f>
        <v/>
      </c>
      <c r="Q192" s="50" t="str">
        <f>IF(AND('Mapa final'!$AB$113="Baja",'Mapa final'!$AD$113="Moderado"),CONCATENATE("R37C",'Mapa final'!$R$113),"")</f>
        <v/>
      </c>
      <c r="R192" s="111" t="str">
        <f>IF(AND('Mapa final'!$AB$114="Baja",'Mapa final'!$AD$114="Moderado"),CONCATENATE("R37C",'Mapa final'!$R$114),"")</f>
        <v/>
      </c>
      <c r="S192" s="105" t="str">
        <f>IF(AND('Mapa final'!$AB$112="Baja",'Mapa final'!$AD$112="Mayor"),CONCATENATE("R37C",'Mapa final'!$R$112),"")</f>
        <v/>
      </c>
      <c r="T192" s="42" t="str">
        <f>IF(AND('Mapa final'!$AB$113="Baja",'Mapa final'!$AD$113="Mayor"),CONCATENATE("R37C",'Mapa final'!$R$113),"")</f>
        <v/>
      </c>
      <c r="U192" s="106" t="str">
        <f>IF(AND('Mapa final'!$AB$114="Baja",'Mapa final'!$AD$114="Mayor"),CONCATENATE("R37C",'Mapa final'!$R$114),"")</f>
        <v/>
      </c>
      <c r="V192" s="43" t="str">
        <f>IF(AND('Mapa final'!$AB$112="Baja",'Mapa final'!$AD$112="Catastrófico"),CONCATENATE("R37C",'Mapa final'!$R$112),"")</f>
        <v/>
      </c>
      <c r="W192" s="44" t="str">
        <f>IF(AND('Mapa final'!$AB$113="Baja",'Mapa final'!$AD$113="Catastrófico"),CONCATENATE("R37C",'Mapa final'!$R$113),"")</f>
        <v/>
      </c>
      <c r="X192" s="100" t="str">
        <f>IF(AND('Mapa final'!$AB$114="Baja",'Mapa final'!$AD$114="Catastrófico"),CONCATENATE("R37C",'Mapa final'!$R$114),"")</f>
        <v/>
      </c>
      <c r="Y192" s="56"/>
      <c r="Z192" s="305"/>
      <c r="AA192" s="306"/>
      <c r="AB192" s="306"/>
      <c r="AC192" s="306"/>
      <c r="AD192" s="306"/>
      <c r="AE192" s="307"/>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c r="BB192" s="56"/>
      <c r="BC192" s="56"/>
      <c r="BD192" s="56"/>
      <c r="BE192" s="56"/>
      <c r="BF192" s="56"/>
      <c r="BG192" s="56"/>
      <c r="BH192" s="56"/>
      <c r="BI192" s="56"/>
    </row>
    <row r="193" spans="1:65" ht="15" customHeight="1" x14ac:dyDescent="0.35">
      <c r="A193" s="56"/>
      <c r="B193" s="300"/>
      <c r="C193" s="300"/>
      <c r="D193" s="301"/>
      <c r="E193" s="289"/>
      <c r="F193" s="290"/>
      <c r="G193" s="290"/>
      <c r="H193" s="290"/>
      <c r="I193" s="288"/>
      <c r="J193" s="115" t="str">
        <f>IF(AND('Mapa final'!$AB$115="Baja",'Mapa final'!$AD$115="Leve"),CONCATENATE("R38C",'Mapa final'!$R$115),"")</f>
        <v/>
      </c>
      <c r="K193" s="54" t="str">
        <f>IF(AND('Mapa final'!$AB$116="Baja",'Mapa final'!$AD$116="Leve"),CONCATENATE("R38C",'Mapa final'!$R$116),"")</f>
        <v/>
      </c>
      <c r="L193" s="116" t="str">
        <f>IF(AND('Mapa final'!$AB$117="Baja",'Mapa final'!$AD$117="Leve"),CONCATENATE("R38C",'Mapa final'!$R$117),"")</f>
        <v/>
      </c>
      <c r="M193" s="49" t="str">
        <f>IF(AND('Mapa final'!$AB$115="Baja",'Mapa final'!$AD$115="Menor"),CONCATENATE("R38C",'Mapa final'!$R$115),"")</f>
        <v>R38C1</v>
      </c>
      <c r="N193" s="50" t="str">
        <f>IF(AND('Mapa final'!$AB$116="Baja",'Mapa final'!$AD$116="Menor"),CONCATENATE("R38C",'Mapa final'!$R$116),"")</f>
        <v/>
      </c>
      <c r="O193" s="111" t="str">
        <f>IF(AND('Mapa final'!$AB$117="Baja",'Mapa final'!$AD$117="Menor"),CONCATENATE("R38C",'Mapa final'!$R$117),"")</f>
        <v/>
      </c>
      <c r="P193" s="49" t="str">
        <f>IF(AND('Mapa final'!$AB$115="Baja",'Mapa final'!$AD$115="Moderado"),CONCATENATE("R38C",'Mapa final'!$R$115),"")</f>
        <v/>
      </c>
      <c r="Q193" s="50" t="str">
        <f>IF(AND('Mapa final'!$AB$116="Baja",'Mapa final'!$AD$116="Moderado"),CONCATENATE("R38C",'Mapa final'!$R$116),"")</f>
        <v/>
      </c>
      <c r="R193" s="111" t="str">
        <f>IF(AND('Mapa final'!$AB$117="Baja",'Mapa final'!$AD$117="Moderado"),CONCATENATE("R38C",'Mapa final'!$R$117),"")</f>
        <v/>
      </c>
      <c r="S193" s="105" t="str">
        <f>IF(AND('Mapa final'!$AB$115="Baja",'Mapa final'!$AD$115="Mayor"),CONCATENATE("R38C",'Mapa final'!$R$115),"")</f>
        <v/>
      </c>
      <c r="T193" s="42" t="str">
        <f>IF(AND('Mapa final'!$AB$116="Baja",'Mapa final'!$AD$116="Mayor"),CONCATENATE("R38C",'Mapa final'!$R$116),"")</f>
        <v/>
      </c>
      <c r="U193" s="106" t="str">
        <f>IF(AND('Mapa final'!$AB$117="Baja",'Mapa final'!$AD$117="Mayor"),CONCATENATE("R38C",'Mapa final'!$R$117),"")</f>
        <v/>
      </c>
      <c r="V193" s="43" t="str">
        <f>IF(AND('Mapa final'!$AB$115="Baja",'Mapa final'!$AD$115="Catastrófico"),CONCATENATE("R38C",'Mapa final'!$R$115),"")</f>
        <v/>
      </c>
      <c r="W193" s="44" t="str">
        <f>IF(AND('Mapa final'!$AB$116="Baja",'Mapa final'!$AD$116="Catastrófico"),CONCATENATE("R38C",'Mapa final'!$R$116),"")</f>
        <v/>
      </c>
      <c r="X193" s="100" t="str">
        <f>IF(AND('Mapa final'!$AB$117="Baja",'Mapa final'!$AD$117="Catastrófico"),CONCATENATE("R38C",'Mapa final'!$R$117),"")</f>
        <v/>
      </c>
      <c r="Y193" s="56"/>
      <c r="Z193" s="305"/>
      <c r="AA193" s="306"/>
      <c r="AB193" s="306"/>
      <c r="AC193" s="306"/>
      <c r="AD193" s="306"/>
      <c r="AE193" s="307"/>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c r="BB193" s="56"/>
      <c r="BC193" s="56"/>
      <c r="BD193" s="56"/>
      <c r="BE193" s="56"/>
      <c r="BF193" s="56"/>
      <c r="BG193" s="56"/>
      <c r="BH193" s="56"/>
      <c r="BI193" s="56"/>
    </row>
    <row r="194" spans="1:65" ht="15" customHeight="1" x14ac:dyDescent="0.35">
      <c r="A194" s="56"/>
      <c r="B194" s="300"/>
      <c r="C194" s="300"/>
      <c r="D194" s="301"/>
      <c r="E194" s="289"/>
      <c r="F194" s="290"/>
      <c r="G194" s="290"/>
      <c r="H194" s="290"/>
      <c r="I194" s="288"/>
      <c r="J194" s="115" t="str">
        <f>IF(AND('Mapa final'!$AB$118="Baja",'Mapa final'!$AD$118="Leve"),CONCATENATE("R39C",'Mapa final'!$R$118),"")</f>
        <v/>
      </c>
      <c r="K194" s="54" t="str">
        <f>IF(AND('Mapa final'!$AB$119="Baja",'Mapa final'!$AD$119="Leve"),CONCATENATE("R39C",'Mapa final'!$R$119),"")</f>
        <v/>
      </c>
      <c r="L194" s="116" t="str">
        <f>IF(AND('Mapa final'!$AB$120="Baja",'Mapa final'!$AD$120="Leve"),CONCATENATE("R39C",'Mapa final'!$R$120),"")</f>
        <v/>
      </c>
      <c r="M194" s="49" t="str">
        <f>IF(AND('Mapa final'!$AB$118="Baja",'Mapa final'!$AD$118="Menor"),CONCATENATE("R39C",'Mapa final'!$R$118),"")</f>
        <v/>
      </c>
      <c r="N194" s="50" t="str">
        <f>IF(AND('Mapa final'!$AB$119="Baja",'Mapa final'!$AD$119="Menor"),CONCATENATE("R39C",'Mapa final'!$R$119),"")</f>
        <v>R39C2</v>
      </c>
      <c r="O194" s="111" t="str">
        <f>IF(AND('Mapa final'!$AB$120="Baja",'Mapa final'!$AD$120="Menor"),CONCATENATE("R39C",'Mapa final'!$R$120),"")</f>
        <v>R39C3</v>
      </c>
      <c r="P194" s="49" t="str">
        <f>IF(AND('Mapa final'!$AB$118="Baja",'Mapa final'!$AD$118="Moderado"),CONCATENATE("R39C",'Mapa final'!$R$118),"")</f>
        <v/>
      </c>
      <c r="Q194" s="50" t="str">
        <f>IF(AND('Mapa final'!$AB$119="Baja",'Mapa final'!$AD$119="Moderado"),CONCATENATE("R39C",'Mapa final'!$R$119),"")</f>
        <v/>
      </c>
      <c r="R194" s="111" t="str">
        <f>IF(AND('Mapa final'!$AB$120="Baja",'Mapa final'!$AD$120="Moderado"),CONCATENATE("R39C",'Mapa final'!$R$120),"")</f>
        <v/>
      </c>
      <c r="S194" s="105" t="str">
        <f>IF(AND('Mapa final'!$AB$118="Baja",'Mapa final'!$AD$118="Mayor"),CONCATENATE("R39C",'Mapa final'!$R$118),"")</f>
        <v/>
      </c>
      <c r="T194" s="42" t="str">
        <f>IF(AND('Mapa final'!$AB$119="Baja",'Mapa final'!$AD$119="Mayor"),CONCATENATE("R39C",'Mapa final'!$R$119),"")</f>
        <v/>
      </c>
      <c r="U194" s="106" t="str">
        <f>IF(AND('Mapa final'!$AB$120="Baja",'Mapa final'!$AD$120="Mayor"),CONCATENATE("R39C",'Mapa final'!$R$120),"")</f>
        <v/>
      </c>
      <c r="V194" s="43" t="str">
        <f>IF(AND('Mapa final'!$AB$118="Baja",'Mapa final'!$AD$118="Catastrófico"),CONCATENATE("R39C",'Mapa final'!$R$118),"")</f>
        <v/>
      </c>
      <c r="W194" s="44" t="str">
        <f>IF(AND('Mapa final'!$AB$119="Baja",'Mapa final'!$AD$119="Catastrófico"),CONCATENATE("R39C",'Mapa final'!$R$119),"")</f>
        <v/>
      </c>
      <c r="X194" s="100" t="str">
        <f>IF(AND('Mapa final'!$AB$120="Baja",'Mapa final'!$AD$120="Catastrófico"),CONCATENATE("R39C",'Mapa final'!$R$120),"")</f>
        <v/>
      </c>
      <c r="Y194" s="56"/>
      <c r="Z194" s="305"/>
      <c r="AA194" s="306"/>
      <c r="AB194" s="306"/>
      <c r="AC194" s="306"/>
      <c r="AD194" s="306"/>
      <c r="AE194" s="307"/>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c r="BB194" s="56"/>
      <c r="BC194" s="56"/>
      <c r="BD194" s="56"/>
      <c r="BE194" s="56"/>
      <c r="BF194" s="56"/>
      <c r="BG194" s="56"/>
      <c r="BH194" s="56"/>
      <c r="BI194" s="56"/>
    </row>
    <row r="195" spans="1:65" ht="15" customHeight="1" x14ac:dyDescent="0.35">
      <c r="A195" s="56"/>
      <c r="B195" s="300"/>
      <c r="C195" s="300"/>
      <c r="D195" s="301"/>
      <c r="E195" s="289"/>
      <c r="F195" s="290"/>
      <c r="G195" s="290"/>
      <c r="H195" s="290"/>
      <c r="I195" s="288"/>
      <c r="J195" s="115" t="str">
        <f>IF(AND('Mapa final'!$AB$121="Baja",'Mapa final'!$AD$121="Leve"),CONCATENATE("R40C",'Mapa final'!$R$121),"")</f>
        <v/>
      </c>
      <c r="K195" s="54" t="str">
        <f>IF(AND('Mapa final'!$AB$122="Baja",'Mapa final'!$AD$122="Leve"),CONCATENATE("R40C",'Mapa final'!$R$122),"")</f>
        <v>R40C2</v>
      </c>
      <c r="L195" s="116" t="str">
        <f>IF(AND('Mapa final'!$AB$123="Baja",'Mapa final'!$AD$123="Leve"),CONCATENATE("R40C",'Mapa final'!$R$123),"")</f>
        <v/>
      </c>
      <c r="M195" s="49" t="str">
        <f>IF(AND('Mapa final'!$AB$121="Baja",'Mapa final'!$AD$121="Menor"),CONCATENATE("R40C",'Mapa final'!$R$121),"")</f>
        <v/>
      </c>
      <c r="N195" s="50" t="str">
        <f>IF(AND('Mapa final'!$AB$122="Baja",'Mapa final'!$AD$122="Menor"),CONCATENATE("R40C",'Mapa final'!$R$122),"")</f>
        <v/>
      </c>
      <c r="O195" s="111" t="str">
        <f>IF(AND('Mapa final'!$AB$123="Baja",'Mapa final'!$AD$123="Menor"),CONCATENATE("R40C",'Mapa final'!$R$123),"")</f>
        <v/>
      </c>
      <c r="P195" s="49" t="str">
        <f>IF(AND('Mapa final'!$AB$121="Baja",'Mapa final'!$AD$121="Moderado"),CONCATENATE("R40C",'Mapa final'!$R$121),"")</f>
        <v>R40C1</v>
      </c>
      <c r="Q195" s="50" t="str">
        <f>IF(AND('Mapa final'!$AB$122="Baja",'Mapa final'!$AD$122="Moderado"),CONCATENATE("R40C",'Mapa final'!$R$122),"")</f>
        <v/>
      </c>
      <c r="R195" s="111" t="str">
        <f>IF(AND('Mapa final'!$AB$123="Baja",'Mapa final'!$AD$123="Moderado"),CONCATENATE("R40C",'Mapa final'!$R$123),"")</f>
        <v/>
      </c>
      <c r="S195" s="105" t="str">
        <f>IF(AND('Mapa final'!$AB$121="Baja",'Mapa final'!$AD$121="Mayor"),CONCATENATE("R40C",'Mapa final'!$R$121),"")</f>
        <v/>
      </c>
      <c r="T195" s="42" t="str">
        <f>IF(AND('Mapa final'!$AB$122="Baja",'Mapa final'!$AD$122="Mayor"),CONCATENATE("R40C",'Mapa final'!$R$122),"")</f>
        <v/>
      </c>
      <c r="U195" s="106" t="str">
        <f>IF(AND('Mapa final'!$AB$123="Baja",'Mapa final'!$AD$123="Mayor"),CONCATENATE("R40C",'Mapa final'!$R$123),"")</f>
        <v/>
      </c>
      <c r="V195" s="43" t="str">
        <f>IF(AND('Mapa final'!$AB$121="Baja",'Mapa final'!$AD$121="Catastrófico"),CONCATENATE("R40C",'Mapa final'!$R$121),"")</f>
        <v/>
      </c>
      <c r="W195" s="44" t="str">
        <f>IF(AND('Mapa final'!$AB$122="Baja",'Mapa final'!$AD$122="Catastrófico"),CONCATENATE("R40C",'Mapa final'!$R$122),"")</f>
        <v/>
      </c>
      <c r="X195" s="100" t="str">
        <f>IF(AND('Mapa final'!$AB$123="Baja",'Mapa final'!$AD$123="Catastrófico"),CONCATENATE("R40C",'Mapa final'!$R$123),"")</f>
        <v/>
      </c>
      <c r="Y195" s="56"/>
      <c r="Z195" s="305"/>
      <c r="AA195" s="306"/>
      <c r="AB195" s="306"/>
      <c r="AC195" s="306"/>
      <c r="AD195" s="306"/>
      <c r="AE195" s="307"/>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c r="BB195" s="56"/>
      <c r="BC195" s="56"/>
      <c r="BD195" s="56"/>
      <c r="BE195" s="56"/>
      <c r="BF195" s="56"/>
      <c r="BG195" s="56"/>
      <c r="BH195" s="56"/>
      <c r="BI195" s="56"/>
    </row>
    <row r="196" spans="1:65" ht="15" customHeight="1" x14ac:dyDescent="0.35">
      <c r="A196" s="56"/>
      <c r="B196" s="300"/>
      <c r="C196" s="300"/>
      <c r="D196" s="301"/>
      <c r="E196" s="289"/>
      <c r="F196" s="290"/>
      <c r="G196" s="290"/>
      <c r="H196" s="290"/>
      <c r="I196" s="288"/>
      <c r="J196" s="115" t="str">
        <f>IF(AND('Mapa final'!$AB$124="Baja",'Mapa final'!$AD$124="Leve"),CONCATENATE("R41C",'Mapa final'!$R$124),"")</f>
        <v/>
      </c>
      <c r="K196" s="54" t="str">
        <f>IF(AND('Mapa final'!$AB$125="Baja",'Mapa final'!$AD$125="Leve"),CONCATENATE("R41C",'Mapa final'!$R$125),"")</f>
        <v/>
      </c>
      <c r="L196" s="116" t="str">
        <f>IF(AND('Mapa final'!$AB$126="Baja",'Mapa final'!$AD$126="Leve"),CONCATENATE("R41C",'Mapa final'!$R$126),"")</f>
        <v/>
      </c>
      <c r="M196" s="49" t="str">
        <f>IF(AND('Mapa final'!$AB$124="Baja",'Mapa final'!$AD$124="Menor"),CONCATENATE("R41C",'Mapa final'!$R$124),"")</f>
        <v/>
      </c>
      <c r="N196" s="50" t="str">
        <f>IF(AND('Mapa final'!$AB$125="Baja",'Mapa final'!$AD$125="Menor"),CONCATENATE("R41C",'Mapa final'!$R$125),"")</f>
        <v/>
      </c>
      <c r="O196" s="111" t="str">
        <f>IF(AND('Mapa final'!$AB$126="Baja",'Mapa final'!$AD$126="Menor"),CONCATENATE("R41C",'Mapa final'!$R$126),"")</f>
        <v/>
      </c>
      <c r="P196" s="49" t="str">
        <f>IF(AND('Mapa final'!$AB$124="Baja",'Mapa final'!$AD$124="Moderado"),CONCATENATE("R41C",'Mapa final'!$R$124),"")</f>
        <v/>
      </c>
      <c r="Q196" s="50" t="str">
        <f>IF(AND('Mapa final'!$AB$125="Baja",'Mapa final'!$AD$125="Moderado"),CONCATENATE("R41C",'Mapa final'!$R$125),"")</f>
        <v/>
      </c>
      <c r="R196" s="111" t="str">
        <f>IF(AND('Mapa final'!$AB$126="Baja",'Mapa final'!$AD$126="Moderado"),CONCATENATE("R41C",'Mapa final'!$R$126),"")</f>
        <v/>
      </c>
      <c r="S196" s="105" t="str">
        <f>IF(AND('Mapa final'!$AB$124="Baja",'Mapa final'!$AD$124="Mayor"),CONCATENATE("R41C",'Mapa final'!$R$124),"")</f>
        <v/>
      </c>
      <c r="T196" s="42" t="str">
        <f>IF(AND('Mapa final'!$AB$125="Baja",'Mapa final'!$AD$125="Mayor"),CONCATENATE("R41C",'Mapa final'!$R$125),"")</f>
        <v/>
      </c>
      <c r="U196" s="106" t="str">
        <f>IF(AND('Mapa final'!$AB$126="Baja",'Mapa final'!$AD$126="Mayor"),CONCATENATE("R41C",'Mapa final'!$R$126),"")</f>
        <v/>
      </c>
      <c r="V196" s="43" t="str">
        <f>IF(AND('Mapa final'!$AB$124="Baja",'Mapa final'!$AD$124="Catastrófico"),CONCATENATE("R41C",'Mapa final'!$R$124),"")</f>
        <v/>
      </c>
      <c r="W196" s="44" t="str">
        <f>IF(AND('Mapa final'!$AB$125="Baja",'Mapa final'!$AD$125="Catastrófico"),CONCATENATE("R41C",'Mapa final'!$R$125),"")</f>
        <v/>
      </c>
      <c r="X196" s="100" t="str">
        <f>IF(AND('Mapa final'!$AB$126="Baja",'Mapa final'!$AD$126="Catastrófico"),CONCATENATE("R41C",'Mapa final'!$R$126),"")</f>
        <v/>
      </c>
      <c r="Y196" s="56"/>
      <c r="Z196" s="305"/>
      <c r="AA196" s="306"/>
      <c r="AB196" s="306"/>
      <c r="AC196" s="306"/>
      <c r="AD196" s="306"/>
      <c r="AE196" s="307"/>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c r="BB196" s="56"/>
      <c r="BC196" s="56"/>
      <c r="BD196" s="56"/>
      <c r="BE196" s="56"/>
      <c r="BF196" s="56"/>
      <c r="BG196" s="56"/>
      <c r="BH196" s="56"/>
      <c r="BI196" s="56"/>
    </row>
    <row r="197" spans="1:65" ht="15" customHeight="1" x14ac:dyDescent="0.35">
      <c r="A197" s="56"/>
      <c r="B197" s="300"/>
      <c r="C197" s="300"/>
      <c r="D197" s="301"/>
      <c r="E197" s="289"/>
      <c r="F197" s="290"/>
      <c r="G197" s="290"/>
      <c r="H197" s="290"/>
      <c r="I197" s="288"/>
      <c r="J197" s="115" t="str">
        <f>IF(AND('Mapa final'!$AB$127="Baja",'Mapa final'!$AD$127="Leve"),CONCATENATE("R42C",'Mapa final'!$R$127),"")</f>
        <v/>
      </c>
      <c r="K197" s="54" t="str">
        <f>IF(AND('Mapa final'!$AB$128="Baja",'Mapa final'!$AD$128="Leve"),CONCATENATE("R42C",'Mapa final'!$R$128),"")</f>
        <v/>
      </c>
      <c r="L197" s="116" t="str">
        <f>IF(AND('Mapa final'!$AB$129="Baja",'Mapa final'!$AD$129="Leve"),CONCATENATE("R42C",'Mapa final'!$R$129),"")</f>
        <v/>
      </c>
      <c r="M197" s="49" t="str">
        <f>IF(AND('Mapa final'!$AB$127="Baja",'Mapa final'!$AD$127="Menor"),CONCATENATE("R42C",'Mapa final'!$R$127),"")</f>
        <v/>
      </c>
      <c r="N197" s="50" t="str">
        <f>IF(AND('Mapa final'!$AB$128="Baja",'Mapa final'!$AD$128="Menor"),CONCATENATE("R42C",'Mapa final'!$R$128),"")</f>
        <v/>
      </c>
      <c r="O197" s="111" t="str">
        <f>IF(AND('Mapa final'!$AB$129="Baja",'Mapa final'!$AD$129="Menor"),CONCATENATE("R42C",'Mapa final'!$R$129),"")</f>
        <v/>
      </c>
      <c r="P197" s="49" t="str">
        <f>IF(AND('Mapa final'!$AB$127="Baja",'Mapa final'!$AD$127="Moderado"),CONCATENATE("R42C",'Mapa final'!$R$127),"")</f>
        <v>R42C1</v>
      </c>
      <c r="Q197" s="50" t="str">
        <f>IF(AND('Mapa final'!$AB$128="Baja",'Mapa final'!$AD$128="Moderado"),CONCATENATE("R42C",'Mapa final'!$R$128),"")</f>
        <v/>
      </c>
      <c r="R197" s="111" t="str">
        <f>IF(AND('Mapa final'!$AB$129="Baja",'Mapa final'!$AD$129="Moderado"),CONCATENATE("R42C",'Mapa final'!$R$129),"")</f>
        <v/>
      </c>
      <c r="S197" s="105" t="str">
        <f>IF(AND('Mapa final'!$AB$127="Baja",'Mapa final'!$AD$127="Mayor"),CONCATENATE("R42C",'Mapa final'!$R$127),"")</f>
        <v/>
      </c>
      <c r="T197" s="42" t="str">
        <f>IF(AND('Mapa final'!$AB$128="Baja",'Mapa final'!$AD$128="Mayor"),CONCATENATE("R42C",'Mapa final'!$R$128),"")</f>
        <v/>
      </c>
      <c r="U197" s="106" t="str">
        <f>IF(AND('Mapa final'!$AB$129="Baja",'Mapa final'!$AD$129="Mayor"),CONCATENATE("R42C",'Mapa final'!$R$129),"")</f>
        <v/>
      </c>
      <c r="V197" s="43" t="str">
        <f>IF(AND('Mapa final'!$AB$127="Baja",'Mapa final'!$AD$127="Catastrófico"),CONCATENATE("R42C",'Mapa final'!$R$127),"")</f>
        <v/>
      </c>
      <c r="W197" s="44" t="str">
        <f>IF(AND('Mapa final'!$AB$128="Baja",'Mapa final'!$AD$128="Catastrófico"),CONCATENATE("R42C",'Mapa final'!$R$128),"")</f>
        <v/>
      </c>
      <c r="X197" s="100" t="str">
        <f>IF(AND('Mapa final'!$AB$129="Baja",'Mapa final'!$AD$129="Catastrófico"),CONCATENATE("R42C",'Mapa final'!$R$129),"")</f>
        <v/>
      </c>
      <c r="Y197" s="56"/>
      <c r="Z197" s="305"/>
      <c r="AA197" s="306"/>
      <c r="AB197" s="306"/>
      <c r="AC197" s="306"/>
      <c r="AD197" s="306"/>
      <c r="AE197" s="307"/>
      <c r="AF197" s="56"/>
      <c r="AG197" s="56"/>
      <c r="AH197" s="56"/>
      <c r="AI197" s="56"/>
      <c r="AJ197" s="56"/>
      <c r="AK197" s="56"/>
      <c r="AL197" s="56"/>
      <c r="AM197" s="56"/>
      <c r="AN197" s="56"/>
      <c r="AO197" s="56"/>
      <c r="AP197" s="56"/>
      <c r="AQ197" s="56"/>
      <c r="AR197" s="56"/>
      <c r="AS197" s="56"/>
      <c r="AT197" s="56"/>
      <c r="AU197" s="56"/>
      <c r="AV197" s="56"/>
      <c r="AW197" s="56"/>
      <c r="AX197" s="56"/>
      <c r="AY197" s="56"/>
      <c r="AZ197" s="56"/>
      <c r="BA197" s="56"/>
      <c r="BB197" s="56"/>
      <c r="BC197" s="56"/>
      <c r="BD197" s="56"/>
      <c r="BE197" s="56"/>
      <c r="BF197" s="56"/>
      <c r="BG197" s="56"/>
      <c r="BH197" s="56"/>
      <c r="BI197" s="56"/>
    </row>
    <row r="198" spans="1:65" ht="15" customHeight="1" x14ac:dyDescent="0.35">
      <c r="A198" s="56"/>
      <c r="B198" s="300"/>
      <c r="C198" s="300"/>
      <c r="D198" s="301"/>
      <c r="E198" s="289"/>
      <c r="F198" s="290"/>
      <c r="G198" s="290"/>
      <c r="H198" s="290"/>
      <c r="I198" s="288"/>
      <c r="J198" s="115" t="str">
        <f>IF(AND('Mapa final'!$AB$130="Baja",'Mapa final'!$AD$130="Leve"),CONCATENATE("R43C",'Mapa final'!$R$130),"")</f>
        <v/>
      </c>
      <c r="K198" s="54" t="str">
        <f>IF(AND('Mapa final'!$AB$131="Baja",'Mapa final'!$AD$131="Leve"),CONCATENATE("R43C",'Mapa final'!$R$131),"")</f>
        <v/>
      </c>
      <c r="L198" s="116" t="str">
        <f>IF(AND('Mapa final'!$AB$132="Baja",'Mapa final'!$AD$132="Leve"),CONCATENATE("R43C",'Mapa final'!$R$132),"")</f>
        <v/>
      </c>
      <c r="M198" s="49" t="str">
        <f>IF(AND('Mapa final'!$AB$130="Baja",'Mapa final'!$AD$130="Menor"),CONCATENATE("R43C",'Mapa final'!$R$130),"")</f>
        <v/>
      </c>
      <c r="N198" s="50" t="str">
        <f>IF(AND('Mapa final'!$AB$131="Baja",'Mapa final'!$AD$131="Menor"),CONCATENATE("R43C",'Mapa final'!$R$131),"")</f>
        <v/>
      </c>
      <c r="O198" s="111" t="str">
        <f>IF(AND('Mapa final'!$AB$132="Baja",'Mapa final'!$AD$132="Menor"),CONCATENATE("R43C",'Mapa final'!$R$132),"")</f>
        <v/>
      </c>
      <c r="P198" s="49" t="str">
        <f>IF(AND('Mapa final'!$AB$130="Baja",'Mapa final'!$AD$130="Moderado"),CONCATENATE("R43C",'Mapa final'!$R$130),"")</f>
        <v/>
      </c>
      <c r="Q198" s="50" t="str">
        <f>IF(AND('Mapa final'!$AB$131="Baja",'Mapa final'!$AD$131="Moderado"),CONCATENATE("R43C",'Mapa final'!$R$131),"")</f>
        <v/>
      </c>
      <c r="R198" s="111" t="str">
        <f>IF(AND('Mapa final'!$AB$132="Baja",'Mapa final'!$AD$132="Moderado"),CONCATENATE("R43C",'Mapa final'!$R$132),"")</f>
        <v/>
      </c>
      <c r="S198" s="105" t="str">
        <f>IF(AND('Mapa final'!$AB$130="Baja",'Mapa final'!$AD$130="Mayor"),CONCATENATE("R43C",'Mapa final'!$R$130),"")</f>
        <v/>
      </c>
      <c r="T198" s="42" t="str">
        <f>IF(AND('Mapa final'!$AB$131="Baja",'Mapa final'!$AD$131="Mayor"),CONCATENATE("R43C",'Mapa final'!$R$131),"")</f>
        <v>R43C2</v>
      </c>
      <c r="U198" s="106" t="str">
        <f>IF(AND('Mapa final'!$AB$132="Baja",'Mapa final'!$AD$132="Mayor"),CONCATENATE("R43C",'Mapa final'!$R$132),"")</f>
        <v/>
      </c>
      <c r="V198" s="43" t="str">
        <f>IF(AND('Mapa final'!$AB$130="Baja",'Mapa final'!$AD$130="Catastrófico"),CONCATENATE("R43C",'Mapa final'!$R$130),"")</f>
        <v/>
      </c>
      <c r="W198" s="44" t="str">
        <f>IF(AND('Mapa final'!$AB$131="Baja",'Mapa final'!$AD$131="Catastrófico"),CONCATENATE("R43C",'Mapa final'!$R$131),"")</f>
        <v/>
      </c>
      <c r="X198" s="100" t="str">
        <f>IF(AND('Mapa final'!$AB$132="Baja",'Mapa final'!$AD$132="Catastrófico"),CONCATENATE("R43C",'Mapa final'!$R$132),"")</f>
        <v/>
      </c>
      <c r="Y198" s="56"/>
      <c r="Z198" s="305"/>
      <c r="AA198" s="306"/>
      <c r="AB198" s="306"/>
      <c r="AC198" s="306"/>
      <c r="AD198" s="306"/>
      <c r="AE198" s="307"/>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c r="BB198" s="56"/>
      <c r="BC198" s="56"/>
      <c r="BD198" s="56"/>
      <c r="BE198" s="56"/>
      <c r="BF198" s="56"/>
      <c r="BG198" s="56"/>
      <c r="BH198" s="56"/>
      <c r="BI198" s="56"/>
    </row>
    <row r="199" spans="1:65" ht="15" customHeight="1" x14ac:dyDescent="0.35">
      <c r="A199" s="56"/>
      <c r="B199" s="300"/>
      <c r="C199" s="300"/>
      <c r="D199" s="301"/>
      <c r="E199" s="289"/>
      <c r="F199" s="290"/>
      <c r="G199" s="290"/>
      <c r="H199" s="290"/>
      <c r="I199" s="288"/>
      <c r="J199" s="115" t="str">
        <f>IF(AND('Mapa final'!$AB$133="Baja",'Mapa final'!$AD$133="Leve"),CONCATENATE("R44C",'Mapa final'!$R$133),"")</f>
        <v/>
      </c>
      <c r="K199" s="54" t="str">
        <f>IF(AND('Mapa final'!$AB$134="Baja",'Mapa final'!$AD$134="Leve"),CONCATENATE("R44C",'Mapa final'!$R$134),"")</f>
        <v/>
      </c>
      <c r="L199" s="116" t="str">
        <f>IF(AND('Mapa final'!$AB$135="Baja",'Mapa final'!$AD$135="Leve"),CONCATENATE("R44C",'Mapa final'!$R$135),"")</f>
        <v/>
      </c>
      <c r="M199" s="49" t="str">
        <f>IF(AND('Mapa final'!$AB$133="Baja",'Mapa final'!$AD$133="Menor"),CONCATENATE("R44C",'Mapa final'!$R$133),"")</f>
        <v/>
      </c>
      <c r="N199" s="50" t="str">
        <f>IF(AND('Mapa final'!$AB$134="Baja",'Mapa final'!$AD$134="Menor"),CONCATENATE("R44C",'Mapa final'!$R$134),"")</f>
        <v/>
      </c>
      <c r="O199" s="111" t="str">
        <f>IF(AND('Mapa final'!$AB$135="Baja",'Mapa final'!$AD$135="Menor"),CONCATENATE("R44C",'Mapa final'!$R$135),"")</f>
        <v/>
      </c>
      <c r="P199" s="49" t="str">
        <f>IF(AND('Mapa final'!$AB$133="Baja",'Mapa final'!$AD$133="Moderado"),CONCATENATE("R44C",'Mapa final'!$R$133),"")</f>
        <v/>
      </c>
      <c r="Q199" s="50" t="str">
        <f>IF(AND('Mapa final'!$AB$134="Baja",'Mapa final'!$AD$134="Moderado"),CONCATENATE("R44C",'Mapa final'!$R$134),"")</f>
        <v>R44C2</v>
      </c>
      <c r="R199" s="111" t="str">
        <f>IF(AND('Mapa final'!$AB$135="Baja",'Mapa final'!$AD$135="Moderado"),CONCATENATE("R44C",'Mapa final'!$R$135),"")</f>
        <v>R44C3</v>
      </c>
      <c r="S199" s="105" t="str">
        <f>IF(AND('Mapa final'!$AB$133="Baja",'Mapa final'!$AD$133="Mayor"),CONCATENATE("R44C",'Mapa final'!$R$133),"")</f>
        <v/>
      </c>
      <c r="T199" s="42" t="str">
        <f>IF(AND('Mapa final'!$AB$134="Baja",'Mapa final'!$AD$134="Mayor"),CONCATENATE("R44C",'Mapa final'!$R$134),"")</f>
        <v/>
      </c>
      <c r="U199" s="106" t="str">
        <f>IF(AND('Mapa final'!$AB$135="Baja",'Mapa final'!$AD$135="Mayor"),CONCATENATE("R44C",'Mapa final'!$R$135),"")</f>
        <v/>
      </c>
      <c r="V199" s="43" t="str">
        <f>IF(AND('Mapa final'!$AB$133="Baja",'Mapa final'!$AD$133="Catastrófico"),CONCATENATE("R44C",'Mapa final'!$R$133),"")</f>
        <v/>
      </c>
      <c r="W199" s="44" t="str">
        <f>IF(AND('Mapa final'!$AB$134="Baja",'Mapa final'!$AD$134="Catastrófico"),CONCATENATE("R44C",'Mapa final'!$R$134),"")</f>
        <v/>
      </c>
      <c r="X199" s="100" t="str">
        <f>IF(AND('Mapa final'!$AB$135="Baja",'Mapa final'!$AD$135="Catastrófico"),CONCATENATE("R44C",'Mapa final'!$R$135),"")</f>
        <v/>
      </c>
      <c r="Y199" s="56"/>
      <c r="Z199" s="305"/>
      <c r="AA199" s="306"/>
      <c r="AB199" s="306"/>
      <c r="AC199" s="306"/>
      <c r="AD199" s="306"/>
      <c r="AE199" s="307"/>
      <c r="AF199" s="56"/>
      <c r="AG199" s="56"/>
      <c r="AH199" s="56"/>
      <c r="AI199" s="56"/>
      <c r="AJ199" s="56"/>
      <c r="AK199" s="56"/>
      <c r="AL199" s="56"/>
      <c r="AM199" s="56"/>
      <c r="AN199" s="56"/>
      <c r="AO199" s="56"/>
      <c r="AP199" s="56"/>
      <c r="AQ199" s="56"/>
      <c r="AR199" s="56"/>
      <c r="AS199" s="56"/>
      <c r="AT199" s="56"/>
      <c r="AU199" s="56"/>
      <c r="AV199" s="56"/>
      <c r="AW199" s="56"/>
      <c r="AX199" s="56"/>
      <c r="AY199" s="56"/>
      <c r="AZ199" s="56"/>
      <c r="BA199" s="56"/>
      <c r="BB199" s="56"/>
      <c r="BC199" s="56"/>
      <c r="BD199" s="56"/>
      <c r="BE199" s="56"/>
      <c r="BF199" s="56"/>
      <c r="BG199" s="56"/>
      <c r="BH199" s="56"/>
      <c r="BI199" s="56"/>
    </row>
    <row r="200" spans="1:65" ht="15" customHeight="1" x14ac:dyDescent="0.35">
      <c r="A200" s="56"/>
      <c r="B200" s="300"/>
      <c r="C200" s="300"/>
      <c r="D200" s="301"/>
      <c r="E200" s="289"/>
      <c r="F200" s="290"/>
      <c r="G200" s="290"/>
      <c r="H200" s="290"/>
      <c r="I200" s="288"/>
      <c r="J200" s="115" t="str">
        <f>IF(AND('Mapa final'!$AB$136="Baja",'Mapa final'!$AD$136="Leve"),CONCATENATE("R45C",'Mapa final'!$R$136),"")</f>
        <v/>
      </c>
      <c r="K200" s="54" t="str">
        <f>IF(AND('Mapa final'!$AB$137="Baja",'Mapa final'!$AD$137="Leve"),CONCATENATE("R45C",'Mapa final'!$R$137),"")</f>
        <v/>
      </c>
      <c r="L200" s="116" t="str">
        <f>IF(AND('Mapa final'!$AB$138="Baja",'Mapa final'!$AD$138="Leve"),CONCATENATE("R45C",'Mapa final'!$R$138),"")</f>
        <v/>
      </c>
      <c r="M200" s="49" t="str">
        <f>IF(AND('Mapa final'!$AB$136="Baja",'Mapa final'!$AD$136="Menor"),CONCATENATE("R45C",'Mapa final'!$R$136),"")</f>
        <v/>
      </c>
      <c r="N200" s="50" t="str">
        <f>IF(AND('Mapa final'!$AB$137="Baja",'Mapa final'!$AD$137="Menor"),CONCATENATE("R45C",'Mapa final'!$R$137),"")</f>
        <v/>
      </c>
      <c r="O200" s="111" t="str">
        <f>IF(AND('Mapa final'!$AB$138="Baja",'Mapa final'!$AD$138="Menor"),CONCATENATE("R45C",'Mapa final'!$R$138),"")</f>
        <v/>
      </c>
      <c r="P200" s="49" t="str">
        <f>IF(AND('Mapa final'!$AB$136="Baja",'Mapa final'!$AD$136="Moderado"),CONCATENATE("R45C",'Mapa final'!$R$136),"")</f>
        <v/>
      </c>
      <c r="Q200" s="50" t="str">
        <f>IF(AND('Mapa final'!$AB$137="Baja",'Mapa final'!$AD$137="Moderado"),CONCATENATE("R45C",'Mapa final'!$R$137),"")</f>
        <v/>
      </c>
      <c r="R200" s="111" t="str">
        <f>IF(AND('Mapa final'!$AB$138="Baja",'Mapa final'!$AD$138="Moderado"),CONCATENATE("R45C",'Mapa final'!$R$138),"")</f>
        <v/>
      </c>
      <c r="S200" s="105" t="str">
        <f>IF(AND('Mapa final'!$AB$136="Baja",'Mapa final'!$AD$136="Mayor"),CONCATENATE("R45C",'Mapa final'!$R$136),"")</f>
        <v/>
      </c>
      <c r="T200" s="42" t="str">
        <f>IF(AND('Mapa final'!$AB$137="Baja",'Mapa final'!$AD$137="Mayor"),CONCATENATE("R45C",'Mapa final'!$R$137),"")</f>
        <v/>
      </c>
      <c r="U200" s="106" t="str">
        <f>IF(AND('Mapa final'!$AB$138="Baja",'Mapa final'!$AD$138="Mayor"),CONCATENATE("R45C",'Mapa final'!$R$138),"")</f>
        <v/>
      </c>
      <c r="V200" s="43" t="str">
        <f>IF(AND('Mapa final'!$AB$136="Baja",'Mapa final'!$AD$136="Catastrófico"),CONCATENATE("R45C",'Mapa final'!$R$136),"")</f>
        <v/>
      </c>
      <c r="W200" s="44" t="str">
        <f>IF(AND('Mapa final'!$AB$137="Baja",'Mapa final'!$AD$137="Catastrófico"),CONCATENATE("R45C",'Mapa final'!$R$137),"")</f>
        <v/>
      </c>
      <c r="X200" s="100" t="str">
        <f>IF(AND('Mapa final'!$AB$138="Baja",'Mapa final'!$AD$138="Catastrófico"),CONCATENATE("R45C",'Mapa final'!$R$138),"")</f>
        <v/>
      </c>
      <c r="Y200" s="56"/>
      <c r="Z200" s="305"/>
      <c r="AA200" s="306"/>
      <c r="AB200" s="306"/>
      <c r="AC200" s="306"/>
      <c r="AD200" s="306"/>
      <c r="AE200" s="307"/>
      <c r="AF200" s="56"/>
      <c r="AG200" s="56"/>
      <c r="AH200" s="56"/>
      <c r="AI200" s="56"/>
      <c r="AJ200" s="56"/>
      <c r="AK200" s="56"/>
      <c r="AL200" s="56"/>
      <c r="AM200" s="56"/>
      <c r="AN200" s="56"/>
      <c r="AO200" s="56"/>
      <c r="AP200" s="56"/>
      <c r="AQ200" s="56"/>
      <c r="AR200" s="56"/>
      <c r="AS200" s="56"/>
      <c r="AT200" s="56"/>
      <c r="AU200" s="56"/>
      <c r="AV200" s="56"/>
      <c r="AW200" s="56"/>
      <c r="AX200" s="56"/>
      <c r="AY200" s="56"/>
      <c r="AZ200" s="56"/>
      <c r="BA200" s="56"/>
      <c r="BB200" s="56"/>
      <c r="BC200" s="56"/>
      <c r="BD200" s="56"/>
      <c r="BE200" s="56"/>
      <c r="BF200" s="56"/>
      <c r="BG200" s="56"/>
      <c r="BH200" s="56"/>
      <c r="BI200" s="56"/>
    </row>
    <row r="201" spans="1:65" ht="15" customHeight="1" x14ac:dyDescent="0.35">
      <c r="A201" s="56"/>
      <c r="B201" s="300"/>
      <c r="C201" s="300"/>
      <c r="D201" s="301"/>
      <c r="E201" s="289"/>
      <c r="F201" s="290"/>
      <c r="G201" s="290"/>
      <c r="H201" s="290"/>
      <c r="I201" s="288"/>
      <c r="J201" s="115" t="str">
        <f>IF(AND('Mapa final'!$AB$139="Baja",'Mapa final'!$AD$139="Leve"),CONCATENATE("R46C",'Mapa final'!$R$139),"")</f>
        <v/>
      </c>
      <c r="K201" s="54" t="str">
        <f>IF(AND('Mapa final'!$AB$140="Baja",'Mapa final'!$AD$140="Leve"),CONCATENATE("R46C",'Mapa final'!$R$140),"")</f>
        <v/>
      </c>
      <c r="L201" s="116" t="str">
        <f>IF(AND('Mapa final'!$AB$141="Baja",'Mapa final'!$AD$141="Leve"),CONCATENATE("R46C",'Mapa final'!$R$141),"")</f>
        <v/>
      </c>
      <c r="M201" s="49" t="str">
        <f>IF(AND('Mapa final'!$AB$139="Baja",'Mapa final'!$AD$139="Menor"),CONCATENATE("R46C",'Mapa final'!$R$139),"")</f>
        <v/>
      </c>
      <c r="N201" s="50" t="str">
        <f>IF(AND('Mapa final'!$AB$140="Baja",'Mapa final'!$AD$140="Menor"),CONCATENATE("R46C",'Mapa final'!$R$140),"")</f>
        <v/>
      </c>
      <c r="O201" s="111" t="str">
        <f>IF(AND('Mapa final'!$AB$141="Baja",'Mapa final'!$AD$141="Menor"),CONCATENATE("R46C",'Mapa final'!$R$141),"")</f>
        <v/>
      </c>
      <c r="P201" s="49" t="str">
        <f>IF(AND('Mapa final'!$AB$139="Baja",'Mapa final'!$AD$139="Moderado"),CONCATENATE("R46C",'Mapa final'!$R$139),"")</f>
        <v/>
      </c>
      <c r="Q201" s="50" t="str">
        <f>IF(AND('Mapa final'!$AB$140="Baja",'Mapa final'!$AD$140="Moderado"),CONCATENATE("R46C",'Mapa final'!$R$140),"")</f>
        <v/>
      </c>
      <c r="R201" s="111" t="str">
        <f>IF(AND('Mapa final'!$AB$141="Baja",'Mapa final'!$AD$141="Moderado"),CONCATENATE("R46C",'Mapa final'!$R$141),"")</f>
        <v/>
      </c>
      <c r="S201" s="105" t="str">
        <f>IF(AND('Mapa final'!$AB$139="Baja",'Mapa final'!$AD$139="Mayor"),CONCATENATE("R46C",'Mapa final'!$R$139),"")</f>
        <v>R46C1</v>
      </c>
      <c r="T201" s="42" t="str">
        <f>IF(AND('Mapa final'!$AB$140="Baja",'Mapa final'!$AD$140="Mayor"),CONCATENATE("R46C",'Mapa final'!$R$140),"")</f>
        <v/>
      </c>
      <c r="U201" s="106" t="str">
        <f>IF(AND('Mapa final'!$AB$141="Baja",'Mapa final'!$AD$141="Mayor"),CONCATENATE("R46C",'Mapa final'!$R$141),"")</f>
        <v/>
      </c>
      <c r="V201" s="43" t="str">
        <f>IF(AND('Mapa final'!$AB$139="Baja",'Mapa final'!$AD$139="Catastrófico"),CONCATENATE("R46C",'Mapa final'!$R$139),"")</f>
        <v/>
      </c>
      <c r="W201" s="44" t="str">
        <f>IF(AND('Mapa final'!$AB$140="Baja",'Mapa final'!$AD$140="Catastrófico"),CONCATENATE("R46C",'Mapa final'!$R$140),"")</f>
        <v/>
      </c>
      <c r="X201" s="100" t="str">
        <f>IF(AND('Mapa final'!$AB$141="Baja",'Mapa final'!$AD$141="Catastrófico"),CONCATENATE("R46C",'Mapa final'!$R$141),"")</f>
        <v/>
      </c>
      <c r="Y201" s="56"/>
      <c r="Z201" s="305"/>
      <c r="AA201" s="306"/>
      <c r="AB201" s="306"/>
      <c r="AC201" s="306"/>
      <c r="AD201" s="306"/>
      <c r="AE201" s="307"/>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c r="BB201" s="56"/>
      <c r="BC201" s="56"/>
      <c r="BD201" s="56"/>
      <c r="BE201" s="56"/>
      <c r="BF201" s="56"/>
      <c r="BG201" s="56"/>
      <c r="BH201" s="56"/>
      <c r="BI201" s="56"/>
    </row>
    <row r="202" spans="1:65" ht="15" customHeight="1" x14ac:dyDescent="0.35">
      <c r="A202" s="56"/>
      <c r="B202" s="300"/>
      <c r="C202" s="300"/>
      <c r="D202" s="301"/>
      <c r="E202" s="289"/>
      <c r="F202" s="290"/>
      <c r="G202" s="290"/>
      <c r="H202" s="290"/>
      <c r="I202" s="288"/>
      <c r="J202" s="115" t="str">
        <f>IF(AND('Mapa final'!$AB$142="Baja",'Mapa final'!$AD$142="Leve"),CONCATENATE("R47C",'Mapa final'!$R$142),"")</f>
        <v/>
      </c>
      <c r="K202" s="54" t="str">
        <f>IF(AND('Mapa final'!$AB$143="Baja",'Mapa final'!$AD$143="Leve"),CONCATENATE("R47C",'Mapa final'!$R$143),"")</f>
        <v/>
      </c>
      <c r="L202" s="116" t="str">
        <f>IF(AND('Mapa final'!$AB$144="Baja",'Mapa final'!$AD$144="Leve"),CONCATENATE("R47C",'Mapa final'!$R$144),"")</f>
        <v/>
      </c>
      <c r="M202" s="49" t="str">
        <f>IF(AND('Mapa final'!$AB$142="Baja",'Mapa final'!$AD$142="Menor"),CONCATENATE("R47C",'Mapa final'!$R$142),"")</f>
        <v/>
      </c>
      <c r="N202" s="50" t="str">
        <f>IF(AND('Mapa final'!$AB$143="Baja",'Mapa final'!$AD$143="Menor"),CONCATENATE("R47C",'Mapa final'!$R$143),"")</f>
        <v/>
      </c>
      <c r="O202" s="111" t="str">
        <f>IF(AND('Mapa final'!$AB$144="Baja",'Mapa final'!$AD$144="Menor"),CONCATENATE("R47C",'Mapa final'!$R$144),"")</f>
        <v/>
      </c>
      <c r="P202" s="49" t="str">
        <f>IF(AND('Mapa final'!$AB$142="Baja",'Mapa final'!$AD$142="Moderado"),CONCATENATE("R47C",'Mapa final'!$R$142),"")</f>
        <v>R47C1</v>
      </c>
      <c r="Q202" s="50" t="str">
        <f>IF(AND('Mapa final'!$AB$143="Baja",'Mapa final'!$AD$143="Moderado"),CONCATENATE("R47C",'Mapa final'!$R$143),"")</f>
        <v/>
      </c>
      <c r="R202" s="111" t="str">
        <f>IF(AND('Mapa final'!$AB$144="Baja",'Mapa final'!$AD$144="Moderado"),CONCATENATE("R47C",'Mapa final'!$R$144),"")</f>
        <v/>
      </c>
      <c r="S202" s="105" t="str">
        <f>IF(AND('Mapa final'!$AB$142="Baja",'Mapa final'!$AD$142="Mayor"),CONCATENATE("R47C",'Mapa final'!$R$142),"")</f>
        <v/>
      </c>
      <c r="T202" s="42" t="str">
        <f>IF(AND('Mapa final'!$AB$143="Baja",'Mapa final'!$AD$143="Mayor"),CONCATENATE("R47C",'Mapa final'!$R$143),"")</f>
        <v/>
      </c>
      <c r="U202" s="106" t="str">
        <f>IF(AND('Mapa final'!$AB$144="Baja",'Mapa final'!$AD$144="Mayor"),CONCATENATE("R47C",'Mapa final'!$R$144),"")</f>
        <v/>
      </c>
      <c r="V202" s="43" t="str">
        <f>IF(AND('Mapa final'!$AB$142="Baja",'Mapa final'!$AD$142="Catastrófico"),CONCATENATE("R47C",'Mapa final'!$R$142),"")</f>
        <v/>
      </c>
      <c r="W202" s="44" t="str">
        <f>IF(AND('Mapa final'!$AB$143="Baja",'Mapa final'!$AD$143="Catastrófico"),CONCATENATE("R47C",'Mapa final'!$R$143),"")</f>
        <v/>
      </c>
      <c r="X202" s="100" t="str">
        <f>IF(AND('Mapa final'!$AB$144="Baja",'Mapa final'!$AD$144="Catastrófico"),CONCATENATE("R47C",'Mapa final'!$R$144),"")</f>
        <v/>
      </c>
      <c r="Y202" s="56"/>
      <c r="Z202" s="305"/>
      <c r="AA202" s="306"/>
      <c r="AB202" s="306"/>
      <c r="AC202" s="306"/>
      <c r="AD202" s="306"/>
      <c r="AE202" s="307"/>
      <c r="AF202" s="56"/>
      <c r="AG202" s="56"/>
      <c r="AH202" s="56"/>
      <c r="AI202" s="56"/>
      <c r="AJ202" s="56"/>
      <c r="AK202" s="56"/>
      <c r="AL202" s="56"/>
      <c r="AM202" s="56"/>
      <c r="AN202" s="56"/>
      <c r="AO202" s="56"/>
      <c r="AP202" s="56"/>
      <c r="AQ202" s="56"/>
      <c r="AR202" s="56"/>
      <c r="AS202" s="56"/>
      <c r="AT202" s="56"/>
      <c r="AU202" s="56"/>
      <c r="AV202" s="56"/>
      <c r="AW202" s="56"/>
      <c r="AX202" s="56"/>
      <c r="AY202" s="56"/>
      <c r="AZ202" s="56"/>
      <c r="BA202" s="56"/>
      <c r="BB202" s="56"/>
      <c r="BC202" s="56"/>
      <c r="BD202" s="56"/>
      <c r="BE202" s="56"/>
      <c r="BF202" s="56"/>
      <c r="BG202" s="56"/>
      <c r="BH202" s="56"/>
      <c r="BI202" s="56"/>
    </row>
    <row r="203" spans="1:65" ht="15" customHeight="1" x14ac:dyDescent="0.35">
      <c r="A203" s="56"/>
      <c r="B203" s="300"/>
      <c r="C203" s="300"/>
      <c r="D203" s="301"/>
      <c r="E203" s="289"/>
      <c r="F203" s="290"/>
      <c r="G203" s="290"/>
      <c r="H203" s="290"/>
      <c r="I203" s="288"/>
      <c r="J203" s="115" t="str">
        <f>IF(AND('Mapa final'!$AB$145="Baja",'Mapa final'!$AD$145="Leve"),CONCATENATE("R48C",'Mapa final'!$R$145),"")</f>
        <v/>
      </c>
      <c r="K203" s="54" t="str">
        <f>IF(AND('Mapa final'!$AB$146="Baja",'Mapa final'!$AD$146="Leve"),CONCATENATE("R48C",'Mapa final'!$R$146),"")</f>
        <v/>
      </c>
      <c r="L203" s="116" t="str">
        <f>IF(AND('Mapa final'!$AB$147="Baja",'Mapa final'!$AD$147="Leve"),CONCATENATE("R48C",'Mapa final'!$R$147),"")</f>
        <v/>
      </c>
      <c r="M203" s="49" t="str">
        <f>IF(AND('Mapa final'!$AB$145="Baja",'Mapa final'!$AD$145="Menor"),CONCATENATE("R48C",'Mapa final'!$R$145),"")</f>
        <v/>
      </c>
      <c r="N203" s="50" t="str">
        <f>IF(AND('Mapa final'!$AB$146="Baja",'Mapa final'!$AD$146="Menor"),CONCATENATE("R48C",'Mapa final'!$R$146),"")</f>
        <v/>
      </c>
      <c r="O203" s="111" t="str">
        <f>IF(AND('Mapa final'!$AB$147="Baja",'Mapa final'!$AD$147="Menor"),CONCATENATE("R48C",'Mapa final'!$R$147),"")</f>
        <v/>
      </c>
      <c r="P203" s="49" t="str">
        <f>IF(AND('Mapa final'!$AB$145="Baja",'Mapa final'!$AD$145="Moderado"),CONCATENATE("R48C",'Mapa final'!$R$145),"")</f>
        <v/>
      </c>
      <c r="Q203" s="50" t="str">
        <f>IF(AND('Mapa final'!$AB$146="Baja",'Mapa final'!$AD$146="Moderado"),CONCATENATE("R48C",'Mapa final'!$R$146),"")</f>
        <v/>
      </c>
      <c r="R203" s="111" t="str">
        <f>IF(AND('Mapa final'!$AB$147="Baja",'Mapa final'!$AD$147="Moderado"),CONCATENATE("R48C",'Mapa final'!$R$147),"")</f>
        <v/>
      </c>
      <c r="S203" s="105" t="str">
        <f>IF(AND('Mapa final'!$AB$145="Baja",'Mapa final'!$AD$145="Mayor"),CONCATENATE("R48C",'Mapa final'!$R$145),"")</f>
        <v/>
      </c>
      <c r="T203" s="42" t="str">
        <f>IF(AND('Mapa final'!$AB$146="Baja",'Mapa final'!$AD$146="Mayor"),CONCATENATE("R48C",'Mapa final'!$R$146),"")</f>
        <v/>
      </c>
      <c r="U203" s="106" t="str">
        <f>IF(AND('Mapa final'!$AB$147="Baja",'Mapa final'!$AD$147="Mayor"),CONCATENATE("R48C",'Mapa final'!$R$147),"")</f>
        <v/>
      </c>
      <c r="V203" s="43" t="str">
        <f>IF(AND('Mapa final'!$AB$145="Baja",'Mapa final'!$AD$145="Catastrófico"),CONCATENATE("R48C",'Mapa final'!$R$145),"")</f>
        <v/>
      </c>
      <c r="W203" s="44" t="str">
        <f>IF(AND('Mapa final'!$AB$146="Baja",'Mapa final'!$AD$146="Catastrófico"),CONCATENATE("R48C",'Mapa final'!$R$146),"")</f>
        <v/>
      </c>
      <c r="X203" s="100" t="str">
        <f>IF(AND('Mapa final'!$AB$147="Baja",'Mapa final'!$AD$147="Catastrófico"),CONCATENATE("R48C",'Mapa final'!$R$147),"")</f>
        <v/>
      </c>
      <c r="Y203" s="56"/>
      <c r="Z203" s="305"/>
      <c r="AA203" s="306"/>
      <c r="AB203" s="306"/>
      <c r="AC203" s="306"/>
      <c r="AD203" s="306"/>
      <c r="AE203" s="307"/>
      <c r="AF203" s="56"/>
      <c r="AG203" s="56"/>
      <c r="AH203" s="56"/>
      <c r="AI203" s="56"/>
      <c r="AJ203" s="56"/>
      <c r="AK203" s="56"/>
      <c r="AL203" s="56"/>
      <c r="AM203" s="56"/>
      <c r="AN203" s="56"/>
      <c r="AO203" s="56"/>
      <c r="AP203" s="56"/>
      <c r="AQ203" s="56"/>
      <c r="AR203" s="56"/>
      <c r="AS203" s="56"/>
      <c r="AT203" s="56"/>
      <c r="AU203" s="56"/>
      <c r="AV203" s="56"/>
      <c r="AW203" s="56"/>
      <c r="AX203" s="56"/>
      <c r="AY203" s="56"/>
      <c r="AZ203" s="56"/>
      <c r="BA203" s="56"/>
      <c r="BB203" s="56"/>
      <c r="BC203" s="56"/>
      <c r="BD203" s="56"/>
      <c r="BE203" s="56"/>
      <c r="BF203" s="56"/>
      <c r="BG203" s="56"/>
      <c r="BH203" s="56"/>
      <c r="BI203" s="56"/>
    </row>
    <row r="204" spans="1:65" ht="15" customHeight="1" x14ac:dyDescent="0.35">
      <c r="A204" s="56"/>
      <c r="B204" s="300"/>
      <c r="C204" s="300"/>
      <c r="D204" s="301"/>
      <c r="E204" s="289"/>
      <c r="F204" s="290"/>
      <c r="G204" s="290"/>
      <c r="H204" s="290"/>
      <c r="I204" s="288"/>
      <c r="J204" s="115" t="str">
        <f>IF(AND('Mapa final'!$AB$148="Baja",'Mapa final'!$AD$148="Leve"),CONCATENATE("R49C",'Mapa final'!$R$148),"")</f>
        <v/>
      </c>
      <c r="K204" s="54" t="str">
        <f>IF(AND('Mapa final'!$AB$149="Baja",'Mapa final'!$AD$149="Leve"),CONCATENATE("R49C",'Mapa final'!$R$149),"")</f>
        <v/>
      </c>
      <c r="L204" s="116" t="str">
        <f>IF(AND('Mapa final'!$AB$150="Baja",'Mapa final'!$AD$150="Leve"),CONCATENATE("R49C",'Mapa final'!$R$150),"")</f>
        <v/>
      </c>
      <c r="M204" s="49" t="str">
        <f>IF(AND('Mapa final'!$AB$148="Baja",'Mapa final'!$AD$148="Menor"),CONCATENATE("R49C",'Mapa final'!$R$148),"")</f>
        <v/>
      </c>
      <c r="N204" s="50" t="str">
        <f>IF(AND('Mapa final'!$AB$149="Baja",'Mapa final'!$AD$149="Menor"),CONCATENATE("R49C",'Mapa final'!$R$149),"")</f>
        <v/>
      </c>
      <c r="O204" s="111" t="str">
        <f>IF(AND('Mapa final'!$AB$150="Baja",'Mapa final'!$AD$150="Menor"),CONCATENATE("R49C",'Mapa final'!$R$150),"")</f>
        <v/>
      </c>
      <c r="P204" s="49" t="str">
        <f>IF(AND('Mapa final'!$AB$148="Baja",'Mapa final'!$AD$148="Moderado"),CONCATENATE("R49C",'Mapa final'!$R$148),"")</f>
        <v/>
      </c>
      <c r="Q204" s="50" t="str">
        <f>IF(AND('Mapa final'!$AB$149="Baja",'Mapa final'!$AD$149="Moderado"),CONCATENATE("R49C",'Mapa final'!$R$149),"")</f>
        <v/>
      </c>
      <c r="R204" s="111" t="str">
        <f>IF(AND('Mapa final'!$AB$150="Baja",'Mapa final'!$AD$150="Moderado"),CONCATENATE("R49C",'Mapa final'!$R$150),"")</f>
        <v/>
      </c>
      <c r="S204" s="105" t="str">
        <f>IF(AND('Mapa final'!$AB$148="Baja",'Mapa final'!$AD$148="Mayor"),CONCATENATE("R49C",'Mapa final'!$R$148),"")</f>
        <v/>
      </c>
      <c r="T204" s="42" t="str">
        <f>IF(AND('Mapa final'!$AB$149="Baja",'Mapa final'!$AD$149="Mayor"),CONCATENATE("R49C",'Mapa final'!$R$149),"")</f>
        <v/>
      </c>
      <c r="U204" s="106" t="str">
        <f>IF(AND('Mapa final'!$AB$150="Baja",'Mapa final'!$AD$150="Mayor"),CONCATENATE("R49C",'Mapa final'!$R$150),"")</f>
        <v/>
      </c>
      <c r="V204" s="43" t="str">
        <f>IF(AND('Mapa final'!$AB$148="Baja",'Mapa final'!$AD$148="Catastrófico"),CONCATENATE("R49C",'Mapa final'!$R$148),"")</f>
        <v/>
      </c>
      <c r="W204" s="44" t="str">
        <f>IF(AND('Mapa final'!$AB$149="Baja",'Mapa final'!$AD$149="Catastrófico"),CONCATENATE("R49C",'Mapa final'!$R$149),"")</f>
        <v/>
      </c>
      <c r="X204" s="100" t="str">
        <f>IF(AND('Mapa final'!$AB$150="Baja",'Mapa final'!$AD$150="Catastrófico"),CONCATENATE("R49C",'Mapa final'!$R$150),"")</f>
        <v/>
      </c>
      <c r="Y204" s="56"/>
      <c r="Z204" s="305"/>
      <c r="AA204" s="306"/>
      <c r="AB204" s="306"/>
      <c r="AC204" s="306"/>
      <c r="AD204" s="306"/>
      <c r="AE204" s="307"/>
      <c r="AF204" s="56"/>
      <c r="AG204" s="56"/>
      <c r="AH204" s="56"/>
      <c r="AI204" s="56"/>
      <c r="AJ204" s="56"/>
      <c r="AK204" s="56"/>
      <c r="AL204" s="56"/>
      <c r="AM204" s="56"/>
      <c r="AN204" s="56"/>
      <c r="AO204" s="56"/>
      <c r="AP204" s="56"/>
      <c r="AQ204" s="56"/>
      <c r="AR204" s="56"/>
      <c r="AS204" s="56"/>
      <c r="AT204" s="56"/>
      <c r="AU204" s="56"/>
      <c r="AV204" s="56"/>
      <c r="AW204" s="56"/>
      <c r="AX204" s="56"/>
      <c r="AY204" s="56"/>
      <c r="AZ204" s="56"/>
      <c r="BA204" s="56"/>
      <c r="BB204" s="56"/>
      <c r="BC204" s="56"/>
      <c r="BD204" s="56"/>
      <c r="BE204" s="56"/>
      <c r="BF204" s="56"/>
      <c r="BG204" s="56"/>
      <c r="BH204" s="56"/>
      <c r="BI204" s="56"/>
    </row>
    <row r="205" spans="1:65" ht="15" customHeight="1" thickBot="1" x14ac:dyDescent="0.4">
      <c r="A205" s="56"/>
      <c r="B205" s="300"/>
      <c r="C205" s="300"/>
      <c r="D205" s="301"/>
      <c r="E205" s="289"/>
      <c r="F205" s="290"/>
      <c r="G205" s="290"/>
      <c r="H205" s="290"/>
      <c r="I205" s="288"/>
      <c r="J205" s="117" t="str">
        <f>IF(AND('Mapa final'!$AB$151="Baja",'Mapa final'!$AD$151="Leve"),CONCATENATE("R50C",'Mapa final'!$R$151),"")</f>
        <v/>
      </c>
      <c r="K205" s="55" t="str">
        <f>IF(AND('Mapa final'!$AB$152="Baja",'Mapa final'!$AD$152="Leve"),CONCATENATE("R50C",'Mapa final'!$R$152),"")</f>
        <v/>
      </c>
      <c r="L205" s="118" t="str">
        <f>IF(AND('Mapa final'!$AB$153="Baja",'Mapa final'!$AD$153="Leve"),CONCATENATE("R50C",'Mapa final'!$R$153),"")</f>
        <v/>
      </c>
      <c r="M205" s="51" t="str">
        <f>IF(AND('Mapa final'!$AB$151="Baja",'Mapa final'!$AD$151="Menor"),CONCATENATE("R50C",'Mapa final'!$R$151),"")</f>
        <v/>
      </c>
      <c r="N205" s="52" t="str">
        <f>IF(AND('Mapa final'!$AB$152="Baja",'Mapa final'!$AD$152="Menor"),CONCATENATE("R50C",'Mapa final'!$R$152),"")</f>
        <v/>
      </c>
      <c r="O205" s="112" t="str">
        <f>IF(AND('Mapa final'!$AB$153="Baja",'Mapa final'!$AD$153="Menor"),CONCATENATE("R50C",'Mapa final'!$R$153),"")</f>
        <v/>
      </c>
      <c r="P205" s="51" t="str">
        <f>IF(AND('Mapa final'!$AB$151="Baja",'Mapa final'!$AD$151="Moderado"),CONCATENATE("R50C",'Mapa final'!$R$151),"")</f>
        <v/>
      </c>
      <c r="Q205" s="52" t="str">
        <f>IF(AND('Mapa final'!$AB$152="Baja",'Mapa final'!$AD$152="Moderado"),CONCATENATE("R50C",'Mapa final'!$R$152),"")</f>
        <v/>
      </c>
      <c r="R205" s="112" t="str">
        <f>IF(AND('Mapa final'!$AB$153="Baja",'Mapa final'!$AD$153="Moderado"),CONCATENATE("R50C",'Mapa final'!$R$153),"")</f>
        <v/>
      </c>
      <c r="S205" s="107" t="str">
        <f>IF(AND('Mapa final'!$AB$151="Baja",'Mapa final'!$AD$151="Mayor"),CONCATENATE("R50C",'Mapa final'!$R$151),"")</f>
        <v/>
      </c>
      <c r="T205" s="108" t="str">
        <f>IF(AND('Mapa final'!$AB$152="Baja",'Mapa final'!$AD$152="Mayor"),CONCATENATE("R50C",'Mapa final'!$R$152),"")</f>
        <v/>
      </c>
      <c r="U205" s="109" t="str">
        <f>IF(AND('Mapa final'!$AB$153="Baja",'Mapa final'!$AD$153="Mayor"),CONCATENATE("R50C",'Mapa final'!$R$153),"")</f>
        <v/>
      </c>
      <c r="V205" s="45" t="str">
        <f>IF(AND('Mapa final'!$AB$151="Baja",'Mapa final'!$AD$151="Catastrófico"),CONCATENATE("R50C",'Mapa final'!$R$151),"")</f>
        <v/>
      </c>
      <c r="W205" s="46" t="str">
        <f>IF(AND('Mapa final'!$AB$152="Baja",'Mapa final'!$AD$152="Catastrófico"),CONCATENATE("R50C",'Mapa final'!$R$152),"")</f>
        <v/>
      </c>
      <c r="X205" s="101" t="str">
        <f>IF(AND('Mapa final'!$AB$153="Baja",'Mapa final'!$AD$153="Catastrófico"),CONCATENATE("R50C",'Mapa final'!$R$153),"")</f>
        <v/>
      </c>
      <c r="Y205" s="56"/>
      <c r="Z205" s="305"/>
      <c r="AA205" s="306"/>
      <c r="AB205" s="306"/>
      <c r="AC205" s="306"/>
      <c r="AD205" s="306"/>
      <c r="AE205" s="307"/>
      <c r="AF205" s="56"/>
      <c r="AG205" s="56"/>
      <c r="AH205" s="56"/>
      <c r="AI205" s="56"/>
      <c r="AJ205" s="56"/>
      <c r="AK205" s="56"/>
      <c r="AL205" s="56"/>
      <c r="AM205" s="56"/>
      <c r="AN205" s="56"/>
      <c r="AO205" s="56"/>
      <c r="AP205" s="56"/>
      <c r="AQ205" s="56"/>
      <c r="AR205" s="56"/>
      <c r="AS205" s="56"/>
      <c r="AT205" s="56"/>
      <c r="AU205" s="56"/>
      <c r="AV205" s="56"/>
      <c r="AW205" s="56"/>
      <c r="AX205" s="56"/>
      <c r="AY205" s="56"/>
      <c r="AZ205" s="56"/>
      <c r="BA205" s="56"/>
      <c r="BB205" s="56"/>
      <c r="BC205" s="56"/>
      <c r="BD205" s="56"/>
      <c r="BE205" s="56"/>
      <c r="BF205" s="56"/>
      <c r="BG205" s="56"/>
      <c r="BH205" s="56"/>
      <c r="BI205" s="56"/>
    </row>
    <row r="206" spans="1:65" ht="16.5" customHeight="1" x14ac:dyDescent="0.35">
      <c r="A206" s="56"/>
      <c r="B206" s="300"/>
      <c r="C206" s="300"/>
      <c r="D206" s="301"/>
      <c r="E206" s="285" t="s">
        <v>104</v>
      </c>
      <c r="F206" s="286"/>
      <c r="G206" s="286"/>
      <c r="H206" s="286"/>
      <c r="I206" s="286"/>
      <c r="J206" s="113" t="str">
        <f>IF(AND('Mapa final'!$AB$7="Muy Baja",'Mapa final'!$AD$7="Leve"),CONCATENATE("R1C",'Mapa final'!$R$7),"")</f>
        <v/>
      </c>
      <c r="K206" s="53" t="str">
        <f>IF(AND('Mapa final'!$AB$8="Muy Baja",'Mapa final'!$AD$8="Leve"),CONCATENATE("R1C",'Mapa final'!$R$8),"")</f>
        <v/>
      </c>
      <c r="L206" s="114" t="str">
        <f>IF(AND('Mapa final'!$AB$9="Muy Baja",'Mapa final'!$AD$9="Leve"),CONCATENATE("R1C",'Mapa final'!$R$9),"")</f>
        <v/>
      </c>
      <c r="M206" s="113" t="str">
        <f>IF(AND('Mapa final'!$AB$7="Muy Baja",'Mapa final'!$AD$7="Menor"),CONCATENATE("R1C",'Mapa final'!$R$7),"")</f>
        <v/>
      </c>
      <c r="N206" s="53" t="str">
        <f>IF(AND('Mapa final'!$AB$8="Muy Baja",'Mapa final'!$AD$8="Menor"),CONCATENATE("R1C",'Mapa final'!$R$8),"")</f>
        <v/>
      </c>
      <c r="O206" s="114" t="str">
        <f>IF(AND('Mapa final'!$AB$9="Muy Baja",'Mapa final'!$AD$9="Menor"),CONCATENATE("R1C",'Mapa final'!$R$9),"")</f>
        <v/>
      </c>
      <c r="P206" s="47" t="str">
        <f>IF(AND('Mapa final'!$AB$7="Muy Baja",'Mapa final'!$AD$7="Moderado"),CONCATENATE("R1C",'Mapa final'!$R$7),"")</f>
        <v/>
      </c>
      <c r="Q206" s="48" t="str">
        <f>IF(AND('Mapa final'!$AB$8="Muy Baja",'Mapa final'!$AD$8="Moderado"),CONCATENATE("R1C",'Mapa final'!$R$8),"")</f>
        <v/>
      </c>
      <c r="R206" s="110" t="str">
        <f>IF(AND('Mapa final'!$AB$9="Muy Baja",'Mapa final'!$AD$9="Moderado"),CONCATENATE("R1C",'Mapa final'!$R$9),"")</f>
        <v/>
      </c>
      <c r="S206" s="102" t="str">
        <f>IF(AND('Mapa final'!$AB$7="Muy Baja",'Mapa final'!$AD$7="Mayor"),CONCATENATE("R1C",'Mapa final'!$R$7),"")</f>
        <v/>
      </c>
      <c r="T206" s="103" t="str">
        <f>IF(AND('Mapa final'!$AB$8="Muy Baja",'Mapa final'!$AD$8="Mayor"),CONCATENATE("R1C",'Mapa final'!$R$8),"")</f>
        <v/>
      </c>
      <c r="U206" s="104" t="str">
        <f>IF(AND('Mapa final'!$AB$9="Muy Baja",'Mapa final'!$AD$9="Mayor"),CONCATENATE("R1C",'Mapa final'!$R$9),"")</f>
        <v/>
      </c>
      <c r="V206" s="40" t="str">
        <f>IF(AND('Mapa final'!$AB$7="Muy Baja",'Mapa final'!$AD$7="Catastrófico"),CONCATENATE("R1C",'Mapa final'!$R$7),"")</f>
        <v/>
      </c>
      <c r="W206" s="41" t="str">
        <f>IF(AND('Mapa final'!$AB$8="Muy Baja",'Mapa final'!$AD$8="Catastrófico"),CONCATENATE("R1C",'Mapa final'!$R$8),"")</f>
        <v/>
      </c>
      <c r="X206" s="99" t="str">
        <f>IF(AND('Mapa final'!$AB$9="Muy Baja",'Mapa final'!$AD$9="Catastrófico"),CONCATENATE("R1C",'Mapa final'!$R$9),"")</f>
        <v/>
      </c>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c r="BB206" s="56"/>
      <c r="BC206" s="56"/>
      <c r="BD206" s="56"/>
      <c r="BE206" s="56"/>
      <c r="BF206" s="56"/>
      <c r="BG206" s="56"/>
      <c r="BH206" s="56"/>
      <c r="BI206" s="56"/>
      <c r="BJ206" s="56"/>
      <c r="BK206" s="56"/>
      <c r="BL206" s="56"/>
      <c r="BM206" s="56"/>
    </row>
    <row r="207" spans="1:65" ht="15.5" x14ac:dyDescent="0.35">
      <c r="A207" s="56"/>
      <c r="B207" s="300"/>
      <c r="C207" s="300"/>
      <c r="D207" s="301"/>
      <c r="E207" s="287"/>
      <c r="F207" s="288"/>
      <c r="G207" s="288"/>
      <c r="H207" s="288"/>
      <c r="I207" s="288"/>
      <c r="J207" s="115" t="str">
        <f>IF(AND('Mapa final'!$AB$10="Muy Baja",'Mapa final'!$AD$10="Leve"),CONCATENATE("R2C",'Mapa final'!$R$10),"")</f>
        <v/>
      </c>
      <c r="K207" s="54" t="str">
        <f>IF(AND('Mapa final'!$AB$11="Muy Baja",'Mapa final'!$AD$11="Leve"),CONCATENATE("R2C",'Mapa final'!$R$11),"")</f>
        <v/>
      </c>
      <c r="L207" s="116" t="str">
        <f>IF(AND('Mapa final'!$AB$12="Muy Baja",'Mapa final'!$AD$12="Leve"),CONCATENATE("R2C",'Mapa final'!$R$12),"")</f>
        <v/>
      </c>
      <c r="M207" s="115" t="str">
        <f>IF(AND('Mapa final'!$AB$10="Muy Baja",'Mapa final'!$AD$10="Menor"),CONCATENATE("R2C",'Mapa final'!$R$10),"")</f>
        <v/>
      </c>
      <c r="N207" s="54" t="str">
        <f>IF(AND('Mapa final'!$AB$11="Muy Baja",'Mapa final'!$AD$11="Menor"),CONCATENATE("R2C",'Mapa final'!$R$11),"")</f>
        <v/>
      </c>
      <c r="O207" s="116" t="str">
        <f>IF(AND('Mapa final'!$AB$12="Muy Baja",'Mapa final'!$AD$12="Menor"),CONCATENATE("R2C",'Mapa final'!$R$12),"")</f>
        <v/>
      </c>
      <c r="P207" s="49" t="str">
        <f>IF(AND('Mapa final'!$AB$10="Muy Baja",'Mapa final'!$AD$10="Moderado"),CONCATENATE("R2C",'Mapa final'!$R$10),"")</f>
        <v/>
      </c>
      <c r="Q207" s="50" t="str">
        <f>IF(AND('Mapa final'!$AB$11="Muy Baja",'Mapa final'!$AD$11="Moderado"),CONCATENATE("R2C",'Mapa final'!$R$11),"")</f>
        <v/>
      </c>
      <c r="R207" s="111" t="str">
        <f>IF(AND('Mapa final'!$AB$12="Muy Baja",'Mapa final'!$AD$12="Moderado"),CONCATENATE("R2C",'Mapa final'!$R$12),"")</f>
        <v/>
      </c>
      <c r="S207" s="105" t="str">
        <f>IF(AND('Mapa final'!$AB$10="Muy Baja",'Mapa final'!$AD$10="Mayor"),CONCATENATE("R2C",'Mapa final'!$R$10),"")</f>
        <v/>
      </c>
      <c r="T207" s="42" t="str">
        <f>IF(AND('Mapa final'!$AB$11="Muy Baja",'Mapa final'!$AD$11="Mayor"),CONCATENATE("R2C",'Mapa final'!$R$11),"")</f>
        <v/>
      </c>
      <c r="U207" s="106" t="str">
        <f>IF(AND('Mapa final'!$AB$12="Muy Baja",'Mapa final'!$AD$12="Mayor"),CONCATENATE("R2C",'Mapa final'!$R$12),"")</f>
        <v/>
      </c>
      <c r="V207" s="43" t="str">
        <f>IF(AND('Mapa final'!$AB$10="Muy Baja",'Mapa final'!$AD$10="Catastrófico"),CONCATENATE("R2C",'Mapa final'!$R$10),"")</f>
        <v/>
      </c>
      <c r="W207" s="44" t="str">
        <f>IF(AND('Mapa final'!$AB$11="Muy Baja",'Mapa final'!$AD$11="Catastrófico"),CONCATENATE("R2C",'Mapa final'!$R$11),"")</f>
        <v/>
      </c>
      <c r="X207" s="100" t="str">
        <f>IF(AND('Mapa final'!$AB$12="Muy Baja",'Mapa final'!$AD$12="Catastrófico"),CONCATENATE("R2C",'Mapa final'!$R$12),"")</f>
        <v/>
      </c>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c r="BA207" s="56"/>
      <c r="BB207" s="56"/>
      <c r="BC207" s="56"/>
      <c r="BD207" s="56"/>
      <c r="BE207" s="56"/>
      <c r="BF207" s="56"/>
      <c r="BG207" s="56"/>
      <c r="BH207" s="56"/>
      <c r="BI207" s="56"/>
      <c r="BJ207" s="56"/>
      <c r="BK207" s="56"/>
      <c r="BL207" s="56"/>
      <c r="BM207" s="56"/>
    </row>
    <row r="208" spans="1:65" ht="15.5" x14ac:dyDescent="0.35">
      <c r="A208" s="56"/>
      <c r="B208" s="300"/>
      <c r="C208" s="300"/>
      <c r="D208" s="301"/>
      <c r="E208" s="287"/>
      <c r="F208" s="288"/>
      <c r="G208" s="288"/>
      <c r="H208" s="288"/>
      <c r="I208" s="288"/>
      <c r="J208" s="115" t="str">
        <f>IF(AND('Mapa final'!$AB$13="Muy Baja",'Mapa final'!$AD$13="Leve"),CONCATENATE("R3C",'Mapa final'!$R$13),"")</f>
        <v/>
      </c>
      <c r="K208" s="54" t="str">
        <f>IF(AND('Mapa final'!$AB$14="Muy Baja",'Mapa final'!$AD$14="Leve"),CONCATENATE("R3C",'Mapa final'!$R$14),"")</f>
        <v/>
      </c>
      <c r="L208" s="116" t="str">
        <f>IF(AND('Mapa final'!$AB$15="Muy Baja",'Mapa final'!$AD$15="Leve"),CONCATENATE("R3C",'Mapa final'!$R$15),"")</f>
        <v/>
      </c>
      <c r="M208" s="115" t="str">
        <f>IF(AND('Mapa final'!$AB$13="Muy Baja",'Mapa final'!$AD$13="Menor"),CONCATENATE("R3C",'Mapa final'!$R$13),"")</f>
        <v/>
      </c>
      <c r="N208" s="54" t="str">
        <f>IF(AND('Mapa final'!$AB$14="Muy Baja",'Mapa final'!$AD$14="Menor"),CONCATENATE("R3C",'Mapa final'!$R$14),"")</f>
        <v/>
      </c>
      <c r="O208" s="116" t="str">
        <f>IF(AND('Mapa final'!$AB$15="Muy Baja",'Mapa final'!$AD$15="Menor"),CONCATENATE("R3C",'Mapa final'!$R$15),"")</f>
        <v/>
      </c>
      <c r="P208" s="49" t="str">
        <f>IF(AND('Mapa final'!$AB$13="Muy Baja",'Mapa final'!$AD$13="Moderado"),CONCATENATE("R3C",'Mapa final'!$R$13),"")</f>
        <v/>
      </c>
      <c r="Q208" s="50" t="str">
        <f>IF(AND('Mapa final'!$AB$14="Muy Baja",'Mapa final'!$AD$14="Moderado"),CONCATENATE("R3C",'Mapa final'!$R$14),"")</f>
        <v/>
      </c>
      <c r="R208" s="111" t="str">
        <f>IF(AND('Mapa final'!$AB$15="Muy Baja",'Mapa final'!$AD$15="Moderado"),CONCATENATE("R3C",'Mapa final'!$R$15),"")</f>
        <v/>
      </c>
      <c r="S208" s="105" t="str">
        <f>IF(AND('Mapa final'!$AB$13="Muy Baja",'Mapa final'!$AD$13="Mayor"),CONCATENATE("R3C",'Mapa final'!$R$13),"")</f>
        <v/>
      </c>
      <c r="T208" s="42" t="str">
        <f>IF(AND('Mapa final'!$AB$14="Muy Baja",'Mapa final'!$AD$14="Mayor"),CONCATENATE("R3C",'Mapa final'!$R$14),"")</f>
        <v/>
      </c>
      <c r="U208" s="106" t="str">
        <f>IF(AND('Mapa final'!$AB$15="Muy Baja",'Mapa final'!$AD$15="Mayor"),CONCATENATE("R3C",'Mapa final'!$R$15),"")</f>
        <v/>
      </c>
      <c r="V208" s="43" t="str">
        <f>IF(AND('Mapa final'!$AB$13="Muy Baja",'Mapa final'!$AD$13="Catastrófico"),CONCATENATE("R3C",'Mapa final'!$R$13),"")</f>
        <v/>
      </c>
      <c r="W208" s="44" t="str">
        <f>IF(AND('Mapa final'!$AB$14="Muy Baja",'Mapa final'!$AD$14="Catastrófico"),CONCATENATE("R3C",'Mapa final'!$R$14),"")</f>
        <v/>
      </c>
      <c r="X208" s="100" t="str">
        <f>IF(AND('Mapa final'!$AB$15="Muy Baja",'Mapa final'!$AD$15="Catastrófico"),CONCATENATE("R3C",'Mapa final'!$R$15),"")</f>
        <v/>
      </c>
      <c r="Y208" s="56"/>
      <c r="Z208" s="56"/>
      <c r="AA208" s="56"/>
      <c r="AB208" s="56"/>
      <c r="AC208" s="56"/>
      <c r="AD208" s="56"/>
      <c r="AE208" s="56"/>
      <c r="AF208" s="56"/>
      <c r="AG208" s="56"/>
      <c r="AH208" s="56"/>
      <c r="AI208" s="56"/>
      <c r="AJ208" s="56"/>
      <c r="AK208" s="56"/>
      <c r="AL208" s="56"/>
      <c r="AM208" s="56"/>
      <c r="AN208" s="56"/>
      <c r="AO208" s="56"/>
      <c r="AP208" s="56"/>
      <c r="AQ208" s="56"/>
      <c r="AR208" s="56"/>
      <c r="AS208" s="56"/>
      <c r="AT208" s="56"/>
      <c r="AU208" s="56"/>
      <c r="AV208" s="56"/>
      <c r="AW208" s="56"/>
      <c r="AX208" s="56"/>
      <c r="AY208" s="56"/>
      <c r="AZ208" s="56"/>
      <c r="BA208" s="56"/>
      <c r="BB208" s="56"/>
      <c r="BC208" s="56"/>
      <c r="BD208" s="56"/>
      <c r="BE208" s="56"/>
      <c r="BF208" s="56"/>
      <c r="BG208" s="56"/>
      <c r="BH208" s="56"/>
      <c r="BI208" s="56"/>
      <c r="BJ208" s="56"/>
      <c r="BK208" s="56"/>
      <c r="BL208" s="56"/>
      <c r="BM208" s="56"/>
    </row>
    <row r="209" spans="1:65" ht="15.5" x14ac:dyDescent="0.35">
      <c r="A209" s="56"/>
      <c r="B209" s="300"/>
      <c r="C209" s="300"/>
      <c r="D209" s="301"/>
      <c r="E209" s="287"/>
      <c r="F209" s="288"/>
      <c r="G209" s="288"/>
      <c r="H209" s="288"/>
      <c r="I209" s="288"/>
      <c r="J209" s="115" t="e">
        <f>IF(AND('Mapa final'!#REF!="Muy Baja",'Mapa final'!#REF!="Leve"),CONCATENATE("R4C",'Mapa final'!#REF!),"")</f>
        <v>#REF!</v>
      </c>
      <c r="K209" s="54" t="e">
        <f>IF(AND('Mapa final'!#REF!="Muy Baja",'Mapa final'!#REF!="Leve"),CONCATENATE("R4C",'Mapa final'!#REF!),"")</f>
        <v>#REF!</v>
      </c>
      <c r="L209" s="116" t="e">
        <f>IF(AND('Mapa final'!#REF!="Muy Baja",'Mapa final'!#REF!="Leve"),CONCATENATE("R4C",'Mapa final'!#REF!),"")</f>
        <v>#REF!</v>
      </c>
      <c r="M209" s="115" t="e">
        <f>IF(AND('Mapa final'!#REF!="Muy Baja",'Mapa final'!#REF!="Menor"),CONCATENATE("R4C",'Mapa final'!#REF!),"")</f>
        <v>#REF!</v>
      </c>
      <c r="N209" s="54" t="e">
        <f>IF(AND('Mapa final'!#REF!="Muy Baja",'Mapa final'!#REF!="Menor"),CONCATENATE("R4C",'Mapa final'!#REF!),"")</f>
        <v>#REF!</v>
      </c>
      <c r="O209" s="116" t="e">
        <f>IF(AND('Mapa final'!#REF!="Muy Baja",'Mapa final'!#REF!="Menor"),CONCATENATE("R4C",'Mapa final'!#REF!),"")</f>
        <v>#REF!</v>
      </c>
      <c r="P209" s="49" t="e">
        <f>IF(AND('Mapa final'!#REF!="Muy Baja",'Mapa final'!#REF!="Moderado"),CONCATENATE("R4C",'Mapa final'!#REF!),"")</f>
        <v>#REF!</v>
      </c>
      <c r="Q209" s="50" t="e">
        <f>IF(AND('Mapa final'!#REF!="Muy Baja",'Mapa final'!#REF!="Moderado"),CONCATENATE("R4C",'Mapa final'!#REF!),"")</f>
        <v>#REF!</v>
      </c>
      <c r="R209" s="111" t="e">
        <f>IF(AND('Mapa final'!#REF!="Muy Baja",'Mapa final'!#REF!="Moderado"),CONCATENATE("R4C",'Mapa final'!#REF!),"")</f>
        <v>#REF!</v>
      </c>
      <c r="S209" s="105" t="e">
        <f>IF(AND('Mapa final'!#REF!="Muy Baja",'Mapa final'!#REF!="Mayor"),CONCATENATE("R4C",'Mapa final'!#REF!),"")</f>
        <v>#REF!</v>
      </c>
      <c r="T209" s="42" t="e">
        <f>IF(AND('Mapa final'!#REF!="Muy Baja",'Mapa final'!#REF!="Mayor"),CONCATENATE("R4C",'Mapa final'!#REF!),"")</f>
        <v>#REF!</v>
      </c>
      <c r="U209" s="106" t="e">
        <f>IF(AND('Mapa final'!#REF!="Muy Baja",'Mapa final'!#REF!="Mayor"),CONCATENATE("R4C",'Mapa final'!#REF!),"")</f>
        <v>#REF!</v>
      </c>
      <c r="V209" s="43" t="e">
        <f>IF(AND('Mapa final'!#REF!="Muy Baja",'Mapa final'!#REF!="Catastrófico"),CONCATENATE("R4C",'Mapa final'!#REF!),"")</f>
        <v>#REF!</v>
      </c>
      <c r="W209" s="44" t="e">
        <f>IF(AND('Mapa final'!#REF!="Muy Baja",'Mapa final'!#REF!="Catastrófico"),CONCATENATE("R4C",'Mapa final'!#REF!),"")</f>
        <v>#REF!</v>
      </c>
      <c r="X209" s="100" t="e">
        <f>IF(AND('Mapa final'!#REF!="Muy Baja",'Mapa final'!#REF!="Catastrófico"),CONCATENATE("R4C",'Mapa final'!#REF!),"")</f>
        <v>#REF!</v>
      </c>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c r="BB209" s="56"/>
      <c r="BC209" s="56"/>
      <c r="BD209" s="56"/>
      <c r="BE209" s="56"/>
      <c r="BF209" s="56"/>
      <c r="BG209" s="56"/>
      <c r="BH209" s="56"/>
      <c r="BI209" s="56"/>
      <c r="BJ209" s="56"/>
      <c r="BK209" s="56"/>
      <c r="BL209" s="56"/>
      <c r="BM209" s="56"/>
    </row>
    <row r="210" spans="1:65" ht="15.5" x14ac:dyDescent="0.35">
      <c r="A210" s="56"/>
      <c r="B210" s="300"/>
      <c r="C210" s="300"/>
      <c r="D210" s="301"/>
      <c r="E210" s="287"/>
      <c r="F210" s="288"/>
      <c r="G210" s="288"/>
      <c r="H210" s="288"/>
      <c r="I210" s="288"/>
      <c r="J210" s="115" t="str">
        <f>IF(AND('Mapa final'!$AB$16="Muy Baja",'Mapa final'!$AD$16="Leve"),CONCATENATE("R5C",'Mapa final'!$R$16),"")</f>
        <v/>
      </c>
      <c r="K210" s="54" t="str">
        <f>IF(AND('Mapa final'!$AB$17="Muy Baja",'Mapa final'!$AD$17="Leve"),CONCATENATE("R5C",'Mapa final'!$R$17),"")</f>
        <v/>
      </c>
      <c r="L210" s="116" t="str">
        <f>IF(AND('Mapa final'!$AB$18="Muy Baja",'Mapa final'!$AD$18="Leve"),CONCATENATE("R5C",'Mapa final'!$R$18),"")</f>
        <v/>
      </c>
      <c r="M210" s="115" t="str">
        <f>IF(AND('Mapa final'!$AB$16="Muy Baja",'Mapa final'!$AD$16="Menor"),CONCATENATE("R5C",'Mapa final'!$R$16),"")</f>
        <v/>
      </c>
      <c r="N210" s="54" t="str">
        <f>IF(AND('Mapa final'!$AB$17="Muy Baja",'Mapa final'!$AD$17="Menor"),CONCATENATE("R5C",'Mapa final'!$R$17),"")</f>
        <v/>
      </c>
      <c r="O210" s="116" t="str">
        <f>IF(AND('Mapa final'!$AB$18="Muy Baja",'Mapa final'!$AD$18="Menor"),CONCATENATE("R5C",'Mapa final'!$R$18),"")</f>
        <v/>
      </c>
      <c r="P210" s="49" t="str">
        <f>IF(AND('Mapa final'!$AB$16="Muy Baja",'Mapa final'!$AD$16="Moderado"),CONCATENATE("R5C",'Mapa final'!$R$16),"")</f>
        <v/>
      </c>
      <c r="Q210" s="50" t="str">
        <f>IF(AND('Mapa final'!$AB$17="Muy Baja",'Mapa final'!$AD$17="Moderado"),CONCATENATE("R5C",'Mapa final'!$R$17),"")</f>
        <v/>
      </c>
      <c r="R210" s="111" t="str">
        <f>IF(AND('Mapa final'!$AB$18="Muy Baja",'Mapa final'!$AD$18="Moderado"),CONCATENATE("R5C",'Mapa final'!$R$18),"")</f>
        <v/>
      </c>
      <c r="S210" s="105" t="str">
        <f>IF(AND('Mapa final'!$AB$16="Muy Baja",'Mapa final'!$AD$16="Mayor"),CONCATENATE("R5C",'Mapa final'!$R$16),"")</f>
        <v/>
      </c>
      <c r="T210" s="42" t="str">
        <f>IF(AND('Mapa final'!$AB$17="Muy Baja",'Mapa final'!$AD$17="Mayor"),CONCATENATE("R5C",'Mapa final'!$R$17),"")</f>
        <v/>
      </c>
      <c r="U210" s="106" t="str">
        <f>IF(AND('Mapa final'!$AB$18="Muy Baja",'Mapa final'!$AD$18="Mayor"),CONCATENATE("R5C",'Mapa final'!$R$18),"")</f>
        <v/>
      </c>
      <c r="V210" s="43" t="str">
        <f>IF(AND('Mapa final'!$AB$16="Muy Baja",'Mapa final'!$AD$16="Catastrófico"),CONCATENATE("R5C",'Mapa final'!$R$16),"")</f>
        <v/>
      </c>
      <c r="W210" s="44" t="str">
        <f>IF(AND('Mapa final'!$AB$17="Muy Baja",'Mapa final'!$AD$17="Catastrófico"),CONCATENATE("R5C",'Mapa final'!$R$17),"")</f>
        <v/>
      </c>
      <c r="X210" s="100" t="str">
        <f>IF(AND('Mapa final'!$AB$18="Muy Baja",'Mapa final'!$AD$18="Catastrófico"),CONCATENATE("R5C",'Mapa final'!$R$18),"")</f>
        <v/>
      </c>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c r="BA210" s="56"/>
      <c r="BB210" s="56"/>
      <c r="BC210" s="56"/>
      <c r="BD210" s="56"/>
      <c r="BE210" s="56"/>
      <c r="BF210" s="56"/>
      <c r="BG210" s="56"/>
      <c r="BH210" s="56"/>
      <c r="BI210" s="56"/>
      <c r="BJ210" s="56"/>
      <c r="BK210" s="56"/>
      <c r="BL210" s="56"/>
      <c r="BM210" s="56"/>
    </row>
    <row r="211" spans="1:65" ht="15.5" x14ac:dyDescent="0.35">
      <c r="A211" s="56"/>
      <c r="B211" s="300"/>
      <c r="C211" s="300"/>
      <c r="D211" s="301"/>
      <c r="E211" s="287"/>
      <c r="F211" s="288"/>
      <c r="G211" s="288"/>
      <c r="H211" s="288"/>
      <c r="I211" s="288"/>
      <c r="J211" s="115" t="str">
        <f>IF(AND('Mapa final'!$AB$19="Muy Baja",'Mapa final'!$AD$19="Leve"),CONCATENATE("R6C",'Mapa final'!$R$19),"")</f>
        <v/>
      </c>
      <c r="K211" s="54" t="str">
        <f>IF(AND('Mapa final'!$AB$20="Muy Baja",'Mapa final'!$AD$20="Leve"),CONCATENATE("R6C",'Mapa final'!$R$20),"")</f>
        <v/>
      </c>
      <c r="L211" s="116" t="str">
        <f>IF(AND('Mapa final'!$AB$21="Muy Baja",'Mapa final'!$AD$21="Leve"),CONCATENATE("R6C",'Mapa final'!$R$21),"")</f>
        <v/>
      </c>
      <c r="M211" s="115" t="str">
        <f>IF(AND('Mapa final'!$AB$19="Muy Baja",'Mapa final'!$AD$19="Menor"),CONCATENATE("R6C",'Mapa final'!$R$19),"")</f>
        <v/>
      </c>
      <c r="N211" s="54" t="str">
        <f>IF(AND('Mapa final'!$AB$20="Muy Baja",'Mapa final'!$AD$20="Menor"),CONCATENATE("R6C",'Mapa final'!$R$20),"")</f>
        <v/>
      </c>
      <c r="O211" s="116" t="str">
        <f>IF(AND('Mapa final'!$AB$21="Muy Baja",'Mapa final'!$AD$21="Menor"),CONCATENATE("R6C",'Mapa final'!$R$21),"")</f>
        <v/>
      </c>
      <c r="P211" s="49" t="str">
        <f>IF(AND('Mapa final'!$AB$19="Muy Baja",'Mapa final'!$AD$19="Moderado"),CONCATENATE("R6C",'Mapa final'!$R$19),"")</f>
        <v>R6C1</v>
      </c>
      <c r="Q211" s="50" t="str">
        <f>IF(AND('Mapa final'!$AB$20="Muy Baja",'Mapa final'!$AD$20="Moderado"),CONCATENATE("R6C",'Mapa final'!$R$20),"")</f>
        <v/>
      </c>
      <c r="R211" s="111" t="str">
        <f>IF(AND('Mapa final'!$AB$21="Muy Baja",'Mapa final'!$AD$21="Moderado"),CONCATENATE("R6C",'Mapa final'!$R$21),"")</f>
        <v/>
      </c>
      <c r="S211" s="105" t="str">
        <f>IF(AND('Mapa final'!$AB$19="Muy Baja",'Mapa final'!$AD$19="Mayor"),CONCATENATE("R6C",'Mapa final'!$R$19),"")</f>
        <v/>
      </c>
      <c r="T211" s="42" t="str">
        <f>IF(AND('Mapa final'!$AB$20="Muy Baja",'Mapa final'!$AD$20="Mayor"),CONCATENATE("R6C",'Mapa final'!$R$20),"")</f>
        <v/>
      </c>
      <c r="U211" s="106" t="str">
        <f>IF(AND('Mapa final'!$AB$21="Muy Baja",'Mapa final'!$AD$21="Mayor"),CONCATENATE("R6C",'Mapa final'!$R$21),"")</f>
        <v/>
      </c>
      <c r="V211" s="43" t="str">
        <f>IF(AND('Mapa final'!$AB$19="Muy Baja",'Mapa final'!$AD$19="Catastrófico"),CONCATENATE("R6C",'Mapa final'!$R$19),"")</f>
        <v/>
      </c>
      <c r="W211" s="44" t="str">
        <f>IF(AND('Mapa final'!$AB$20="Muy Baja",'Mapa final'!$AD$20="Catastrófico"),CONCATENATE("R6C",'Mapa final'!$R$20),"")</f>
        <v/>
      </c>
      <c r="X211" s="100" t="str">
        <f>IF(AND('Mapa final'!$AB$21="Muy Baja",'Mapa final'!$AD$21="Catastrófico"),CONCATENATE("R6C",'Mapa final'!$R$21),"")</f>
        <v/>
      </c>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c r="BB211" s="56"/>
      <c r="BC211" s="56"/>
      <c r="BD211" s="56"/>
      <c r="BE211" s="56"/>
      <c r="BF211" s="56"/>
      <c r="BG211" s="56"/>
      <c r="BH211" s="56"/>
      <c r="BI211" s="56"/>
      <c r="BJ211" s="56"/>
      <c r="BK211" s="56"/>
      <c r="BL211" s="56"/>
      <c r="BM211" s="56"/>
    </row>
    <row r="212" spans="1:65" ht="15.5" x14ac:dyDescent="0.35">
      <c r="A212" s="56"/>
      <c r="B212" s="300"/>
      <c r="C212" s="300"/>
      <c r="D212" s="301"/>
      <c r="E212" s="287"/>
      <c r="F212" s="288"/>
      <c r="G212" s="288"/>
      <c r="H212" s="288"/>
      <c r="I212" s="288"/>
      <c r="J212" s="115" t="str">
        <f>IF(AND('Mapa final'!$AB$22="Muy Baja",'Mapa final'!$AD$22="Leve"),CONCATENATE("R7C",'Mapa final'!$R$22),"")</f>
        <v/>
      </c>
      <c r="K212" s="54" t="str">
        <f>IF(AND('Mapa final'!$AB$23="Muy Baja",'Mapa final'!$AD$23="Leve"),CONCATENATE("R7C",'Mapa final'!$R$23),"")</f>
        <v/>
      </c>
      <c r="L212" s="116" t="str">
        <f>IF(AND('Mapa final'!$AB$24="Muy Baja",'Mapa final'!$AD$24="Leve"),CONCATENATE("R7C",'Mapa final'!$R$24),"")</f>
        <v/>
      </c>
      <c r="M212" s="115" t="str">
        <f>IF(AND('Mapa final'!$AB$22="Muy Baja",'Mapa final'!$AD$22="Menor"),CONCATENATE("R7C",'Mapa final'!$R$22),"")</f>
        <v/>
      </c>
      <c r="N212" s="54" t="str">
        <f>IF(AND('Mapa final'!$AB$23="Muy Baja",'Mapa final'!$AD$23="Menor"),CONCATENATE("R7C",'Mapa final'!$R$23),"")</f>
        <v/>
      </c>
      <c r="O212" s="116" t="str">
        <f>IF(AND('Mapa final'!$AB$24="Muy Baja",'Mapa final'!$AD$24="Menor"),CONCATENATE("R7C",'Mapa final'!$R$24),"")</f>
        <v/>
      </c>
      <c r="P212" s="49" t="str">
        <f>IF(AND('Mapa final'!$AB$22="Muy Baja",'Mapa final'!$AD$22="Moderado"),CONCATENATE("R7C",'Mapa final'!$R$22),"")</f>
        <v>R7C1</v>
      </c>
      <c r="Q212" s="50" t="str">
        <f>IF(AND('Mapa final'!$AB$23="Muy Baja",'Mapa final'!$AD$23="Moderado"),CONCATENATE("R7C",'Mapa final'!$R$23),"")</f>
        <v/>
      </c>
      <c r="R212" s="111" t="str">
        <f>IF(AND('Mapa final'!$AB$24="Muy Baja",'Mapa final'!$AD$24="Moderado"),CONCATENATE("R7C",'Mapa final'!$R$24),"")</f>
        <v/>
      </c>
      <c r="S212" s="105" t="str">
        <f>IF(AND('Mapa final'!$AB$22="Muy Baja",'Mapa final'!$AD$22="Mayor"),CONCATENATE("R7C",'Mapa final'!$R$22),"")</f>
        <v/>
      </c>
      <c r="T212" s="42" t="str">
        <f>IF(AND('Mapa final'!$AB$23="Muy Baja",'Mapa final'!$AD$23="Mayor"),CONCATENATE("R7C",'Mapa final'!$R$23),"")</f>
        <v/>
      </c>
      <c r="U212" s="106" t="str">
        <f>IF(AND('Mapa final'!$AB$24="Muy Baja",'Mapa final'!$AD$24="Mayor"),CONCATENATE("R7C",'Mapa final'!$R$24),"")</f>
        <v/>
      </c>
      <c r="V212" s="43" t="str">
        <f>IF(AND('Mapa final'!$AB$22="Muy Baja",'Mapa final'!$AD$22="Catastrófico"),CONCATENATE("R7C",'Mapa final'!$R$22),"")</f>
        <v/>
      </c>
      <c r="W212" s="44" t="str">
        <f>IF(AND('Mapa final'!$AB$23="Muy Baja",'Mapa final'!$AD$23="Catastrófico"),CONCATENATE("R7C",'Mapa final'!$R$23),"")</f>
        <v/>
      </c>
      <c r="X212" s="100" t="str">
        <f>IF(AND('Mapa final'!$AB$24="Muy Baja",'Mapa final'!$AD$24="Catastrófico"),CONCATENATE("R7C",'Mapa final'!$R$24),"")</f>
        <v/>
      </c>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c r="BA212" s="56"/>
      <c r="BB212" s="56"/>
      <c r="BC212" s="56"/>
      <c r="BD212" s="56"/>
      <c r="BE212" s="56"/>
      <c r="BF212" s="56"/>
      <c r="BG212" s="56"/>
      <c r="BH212" s="56"/>
      <c r="BI212" s="56"/>
      <c r="BJ212" s="56"/>
      <c r="BK212" s="56"/>
      <c r="BL212" s="56"/>
      <c r="BM212" s="56"/>
    </row>
    <row r="213" spans="1:65" ht="15.5" x14ac:dyDescent="0.35">
      <c r="A213" s="56"/>
      <c r="B213" s="300"/>
      <c r="C213" s="300"/>
      <c r="D213" s="301"/>
      <c r="E213" s="287"/>
      <c r="F213" s="288"/>
      <c r="G213" s="288"/>
      <c r="H213" s="288"/>
      <c r="I213" s="288"/>
      <c r="J213" s="115" t="str">
        <f>IF(AND('Mapa final'!$AB$25="Muy Baja",'Mapa final'!$AD$25="Leve"),CONCATENATE("R8C",'Mapa final'!$R$25),"")</f>
        <v/>
      </c>
      <c r="K213" s="54" t="str">
        <f>IF(AND('Mapa final'!$AB$26="Muy Baja",'Mapa final'!$AD$26="Leve"),CONCATENATE("R8C",'Mapa final'!$R$26),"")</f>
        <v/>
      </c>
      <c r="L213" s="116" t="str">
        <f>IF(AND('Mapa final'!$AB$27="Muy Baja",'Mapa final'!$AD$27="Leve"),CONCATENATE("R8C",'Mapa final'!$R$27),"")</f>
        <v/>
      </c>
      <c r="M213" s="115" t="str">
        <f>IF(AND('Mapa final'!$AB$25="Muy Baja",'Mapa final'!$AD$25="Menor"),CONCATENATE("R8C",'Mapa final'!$R$25),"")</f>
        <v/>
      </c>
      <c r="N213" s="54" t="str">
        <f>IF(AND('Mapa final'!$AB$26="Muy Baja",'Mapa final'!$AD$26="Menor"),CONCATENATE("R8C",'Mapa final'!$R$26),"")</f>
        <v/>
      </c>
      <c r="O213" s="116" t="str">
        <f>IF(AND('Mapa final'!$AB$27="Muy Baja",'Mapa final'!$AD$27="Menor"),CONCATENATE("R8C",'Mapa final'!$R$27),"")</f>
        <v/>
      </c>
      <c r="P213" s="49" t="str">
        <f>IF(AND('Mapa final'!$AB$25="Muy Baja",'Mapa final'!$AD$25="Moderado"),CONCATENATE("R8C",'Mapa final'!$R$25),"")</f>
        <v/>
      </c>
      <c r="Q213" s="50" t="str">
        <f>IF(AND('Mapa final'!$AB$26="Muy Baja",'Mapa final'!$AD$26="Moderado"),CONCATENATE("R8C",'Mapa final'!$R$26),"")</f>
        <v/>
      </c>
      <c r="R213" s="111" t="str">
        <f>IF(AND('Mapa final'!$AB$27="Muy Baja",'Mapa final'!$AD$27="Moderado"),CONCATENATE("R8C",'Mapa final'!$R$27),"")</f>
        <v/>
      </c>
      <c r="S213" s="105" t="str">
        <f>IF(AND('Mapa final'!$AB$25="Muy Baja",'Mapa final'!$AD$25="Mayor"),CONCATENATE("R8C",'Mapa final'!$R$25),"")</f>
        <v/>
      </c>
      <c r="T213" s="42" t="str">
        <f>IF(AND('Mapa final'!$AB$26="Muy Baja",'Mapa final'!$AD$26="Mayor"),CONCATENATE("R8C",'Mapa final'!$R$26),"")</f>
        <v/>
      </c>
      <c r="U213" s="106" t="str">
        <f>IF(AND('Mapa final'!$AB$27="Muy Baja",'Mapa final'!$AD$27="Mayor"),CONCATENATE("R8C",'Mapa final'!$R$27),"")</f>
        <v/>
      </c>
      <c r="V213" s="43" t="str">
        <f>IF(AND('Mapa final'!$AB$25="Muy Baja",'Mapa final'!$AD$25="Catastrófico"),CONCATENATE("R8C",'Mapa final'!$R$25),"")</f>
        <v/>
      </c>
      <c r="W213" s="44" t="str">
        <f>IF(AND('Mapa final'!$AB$26="Muy Baja",'Mapa final'!$AD$26="Catastrófico"),CONCATENATE("R8C",'Mapa final'!$R$26),"")</f>
        <v/>
      </c>
      <c r="X213" s="100" t="str">
        <f>IF(AND('Mapa final'!$AB$27="Muy Baja",'Mapa final'!$AD$27="Catastrófico"),CONCATENATE("R8C",'Mapa final'!$R$27),"")</f>
        <v/>
      </c>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c r="AZ213" s="56"/>
      <c r="BA213" s="56"/>
      <c r="BB213" s="56"/>
      <c r="BC213" s="56"/>
      <c r="BD213" s="56"/>
      <c r="BE213" s="56"/>
      <c r="BF213" s="56"/>
      <c r="BG213" s="56"/>
      <c r="BH213" s="56"/>
      <c r="BI213" s="56"/>
      <c r="BJ213" s="56"/>
      <c r="BK213" s="56"/>
      <c r="BL213" s="56"/>
      <c r="BM213" s="56"/>
    </row>
    <row r="214" spans="1:65" ht="15.5" x14ac:dyDescent="0.35">
      <c r="A214" s="56"/>
      <c r="B214" s="300"/>
      <c r="C214" s="300"/>
      <c r="D214" s="301"/>
      <c r="E214" s="287"/>
      <c r="F214" s="288"/>
      <c r="G214" s="288"/>
      <c r="H214" s="288"/>
      <c r="I214" s="288"/>
      <c r="J214" s="115" t="str">
        <f>IF(AND('Mapa final'!$AB$28="Muy Baja",'Mapa final'!$AD$28="Leve"),CONCATENATE("R9C",'Mapa final'!$R$28),"")</f>
        <v/>
      </c>
      <c r="K214" s="54" t="str">
        <f>IF(AND('Mapa final'!$AB$29="Muy Baja",'Mapa final'!$AD$29="Leve"),CONCATENATE("R9C",'Mapa final'!$R$29),"")</f>
        <v/>
      </c>
      <c r="L214" s="116" t="str">
        <f>IF(AND('Mapa final'!$AB$30="Muy Baja",'Mapa final'!$AD$30="Leve"),CONCATENATE("R9C",'Mapa final'!$R$30),"")</f>
        <v/>
      </c>
      <c r="M214" s="115" t="str">
        <f>IF(AND('Mapa final'!$AB$28="Muy Baja",'Mapa final'!$AD$28="Menor"),CONCATENATE("R9C",'Mapa final'!$R$28),"")</f>
        <v/>
      </c>
      <c r="N214" s="54" t="str">
        <f>IF(AND('Mapa final'!$AB$29="Muy Baja",'Mapa final'!$AD$29="Menor"),CONCATENATE("R9C",'Mapa final'!$R$29),"")</f>
        <v/>
      </c>
      <c r="O214" s="116" t="str">
        <f>IF(AND('Mapa final'!$AB$30="Muy Baja",'Mapa final'!$AD$30="Menor"),CONCATENATE("R9C",'Mapa final'!$R$30),"")</f>
        <v/>
      </c>
      <c r="P214" s="49" t="str">
        <f>IF(AND('Mapa final'!$AB$28="Muy Baja",'Mapa final'!$AD$28="Moderado"),CONCATENATE("R9C",'Mapa final'!$R$28),"")</f>
        <v/>
      </c>
      <c r="Q214" s="50" t="str">
        <f>IF(AND('Mapa final'!$AB$29="Muy Baja",'Mapa final'!$AD$29="Moderado"),CONCATENATE("R9C",'Mapa final'!$R$29),"")</f>
        <v/>
      </c>
      <c r="R214" s="111" t="str">
        <f>IF(AND('Mapa final'!$AB$30="Muy Baja",'Mapa final'!$AD$30="Moderado"),CONCATENATE("R9C",'Mapa final'!$R$30),"")</f>
        <v/>
      </c>
      <c r="S214" s="105" t="str">
        <f>IF(AND('Mapa final'!$AB$28="Muy Baja",'Mapa final'!$AD$28="Mayor"),CONCATENATE("R9C",'Mapa final'!$R$28),"")</f>
        <v/>
      </c>
      <c r="T214" s="42" t="str">
        <f>IF(AND('Mapa final'!$AB$29="Muy Baja",'Mapa final'!$AD$29="Mayor"),CONCATENATE("R9C",'Mapa final'!$R$29),"")</f>
        <v/>
      </c>
      <c r="U214" s="106" t="str">
        <f>IF(AND('Mapa final'!$AB$30="Muy Baja",'Mapa final'!$AD$30="Mayor"),CONCATENATE("R9C",'Mapa final'!$R$30),"")</f>
        <v/>
      </c>
      <c r="V214" s="43" t="str">
        <f>IF(AND('Mapa final'!$AB$28="Muy Baja",'Mapa final'!$AD$28="Catastrófico"),CONCATENATE("R9C",'Mapa final'!$R$28),"")</f>
        <v/>
      </c>
      <c r="W214" s="44" t="str">
        <f>IF(AND('Mapa final'!$AB$29="Muy Baja",'Mapa final'!$AD$29="Catastrófico"),CONCATENATE("R9C",'Mapa final'!$R$29),"")</f>
        <v/>
      </c>
      <c r="X214" s="100" t="str">
        <f>IF(AND('Mapa final'!$AB$30="Muy Baja",'Mapa final'!$AD$30="Catastrófico"),CONCATENATE("R9C",'Mapa final'!$R$30),"")</f>
        <v/>
      </c>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c r="BB214" s="56"/>
      <c r="BC214" s="56"/>
      <c r="BD214" s="56"/>
      <c r="BE214" s="56"/>
      <c r="BF214" s="56"/>
      <c r="BG214" s="56"/>
      <c r="BH214" s="56"/>
      <c r="BI214" s="56"/>
      <c r="BJ214" s="56"/>
      <c r="BK214" s="56"/>
      <c r="BL214" s="56"/>
      <c r="BM214" s="56"/>
    </row>
    <row r="215" spans="1:65" ht="15.5" x14ac:dyDescent="0.35">
      <c r="A215" s="56"/>
      <c r="B215" s="300"/>
      <c r="C215" s="300"/>
      <c r="D215" s="301"/>
      <c r="E215" s="287"/>
      <c r="F215" s="288"/>
      <c r="G215" s="288"/>
      <c r="H215" s="288"/>
      <c r="I215" s="288"/>
      <c r="J215" s="115" t="str">
        <f>IF(AND('Mapa final'!$AB$31="Muy Baja",'Mapa final'!$AD$31="Leve"),CONCATENATE("R10C",'Mapa final'!$R$31),"")</f>
        <v/>
      </c>
      <c r="K215" s="54" t="str">
        <f>IF(AND('Mapa final'!$AB$32="Muy Baja",'Mapa final'!$AD$32="Leve"),CONCATENATE("R10C",'Mapa final'!$R$32),"")</f>
        <v/>
      </c>
      <c r="L215" s="116" t="str">
        <f>IF(AND('Mapa final'!$AB$33="Muy Baja",'Mapa final'!$AD$33="Leve"),CONCATENATE("R10C",'Mapa final'!$R$33),"")</f>
        <v/>
      </c>
      <c r="M215" s="115" t="str">
        <f>IF(AND('Mapa final'!$AB$31="Muy Baja",'Mapa final'!$AD$31="Menor"),CONCATENATE("R10C",'Mapa final'!$R$31),"")</f>
        <v/>
      </c>
      <c r="N215" s="54" t="str">
        <f>IF(AND('Mapa final'!$AB$32="Muy Baja",'Mapa final'!$AD$32="Menor"),CONCATENATE("R10C",'Mapa final'!$R$32),"")</f>
        <v/>
      </c>
      <c r="O215" s="116" t="str">
        <f>IF(AND('Mapa final'!$AB$33="Muy Baja",'Mapa final'!$AD$33="Menor"),CONCATENATE("R10C",'Mapa final'!$R$33),"")</f>
        <v/>
      </c>
      <c r="P215" s="49" t="str">
        <f>IF(AND('Mapa final'!$AB$31="Muy Baja",'Mapa final'!$AD$31="Moderado"),CONCATENATE("R10C",'Mapa final'!$R$31),"")</f>
        <v/>
      </c>
      <c r="Q215" s="50" t="str">
        <f>IF(AND('Mapa final'!$AB$32="Muy Baja",'Mapa final'!$AD$32="Moderado"),CONCATENATE("R10C",'Mapa final'!$R$32),"")</f>
        <v/>
      </c>
      <c r="R215" s="111" t="str">
        <f>IF(AND('Mapa final'!$AB$33="Muy Baja",'Mapa final'!$AD$33="Moderado"),CONCATENATE("R10C",'Mapa final'!$R$33),"")</f>
        <v/>
      </c>
      <c r="S215" s="105" t="str">
        <f>IF(AND('Mapa final'!$AB$31="Muy Baja",'Mapa final'!$AD$31="Mayor"),CONCATENATE("R10C",'Mapa final'!$R$31),"")</f>
        <v/>
      </c>
      <c r="T215" s="42" t="str">
        <f>IF(AND('Mapa final'!$AB$32="Muy Baja",'Mapa final'!$AD$32="Mayor"),CONCATENATE("R10C",'Mapa final'!$R$32),"")</f>
        <v/>
      </c>
      <c r="U215" s="106" t="str">
        <f>IF(AND('Mapa final'!$AB$33="Muy Baja",'Mapa final'!$AD$33="Mayor"),CONCATENATE("R10C",'Mapa final'!$R$33),"")</f>
        <v/>
      </c>
      <c r="V215" s="43" t="str">
        <f>IF(AND('Mapa final'!$AB$31="Muy Baja",'Mapa final'!$AD$31="Catastrófico"),CONCATENATE("R10C",'Mapa final'!$R$31),"")</f>
        <v/>
      </c>
      <c r="W215" s="44" t="str">
        <f>IF(AND('Mapa final'!$AB$32="Muy Baja",'Mapa final'!$AD$32="Catastrófico"),CONCATENATE("R10C",'Mapa final'!$R$32),"")</f>
        <v/>
      </c>
      <c r="X215" s="100" t="str">
        <f>IF(AND('Mapa final'!$AB$33="Muy Baja",'Mapa final'!$AD$33="Catastrófico"),CONCATENATE("R10C",'Mapa final'!$R$33),"")</f>
        <v/>
      </c>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c r="BB215" s="56"/>
      <c r="BC215" s="56"/>
      <c r="BD215" s="56"/>
      <c r="BE215" s="56"/>
      <c r="BF215" s="56"/>
      <c r="BG215" s="56"/>
      <c r="BH215" s="56"/>
      <c r="BI215" s="56"/>
      <c r="BJ215" s="56"/>
      <c r="BK215" s="56"/>
      <c r="BL215" s="56"/>
      <c r="BM215" s="56"/>
    </row>
    <row r="216" spans="1:65" ht="15.5" x14ac:dyDescent="0.35">
      <c r="A216" s="56"/>
      <c r="B216" s="300"/>
      <c r="C216" s="300"/>
      <c r="D216" s="301"/>
      <c r="E216" s="287"/>
      <c r="F216" s="288"/>
      <c r="G216" s="288"/>
      <c r="H216" s="288"/>
      <c r="I216" s="288"/>
      <c r="J216" s="115" t="str">
        <f>IF(AND('Mapa final'!$AB$34="Muy Baja",'Mapa final'!$AD$34="Leve"),CONCATENATE("R11C",'Mapa final'!$R$34),"")</f>
        <v/>
      </c>
      <c r="K216" s="54" t="str">
        <f>IF(AND('Mapa final'!$AB$35="Muy Baja",'Mapa final'!$AD$35="Leve"),CONCATENATE("R11C",'Mapa final'!$R$35),"")</f>
        <v/>
      </c>
      <c r="L216" s="116" t="str">
        <f>IF(AND('Mapa final'!$AB$36="Muy Baja",'Mapa final'!$AD$36="Leve"),CONCATENATE("R11C",'Mapa final'!$R$36),"")</f>
        <v/>
      </c>
      <c r="M216" s="115" t="str">
        <f>IF(AND('Mapa final'!$AB$34="Muy Baja",'Mapa final'!$AD$34="Menor"),CONCATENATE("R11C",'Mapa final'!$R$34),"")</f>
        <v/>
      </c>
      <c r="N216" s="54" t="str">
        <f>IF(AND('Mapa final'!$AB$35="Muy Baja",'Mapa final'!$AD$35="Menor"),CONCATENATE("R11C",'Mapa final'!$R$35),"")</f>
        <v/>
      </c>
      <c r="O216" s="116" t="str">
        <f>IF(AND('Mapa final'!$AB$36="Muy Baja",'Mapa final'!$AD$36="Menor"),CONCATENATE("R11C",'Mapa final'!$R$36),"")</f>
        <v/>
      </c>
      <c r="P216" s="49" t="str">
        <f>IF(AND('Mapa final'!$AB$34="Muy Baja",'Mapa final'!$AD$34="Moderado"),CONCATENATE("R11C",'Mapa final'!$R$34),"")</f>
        <v/>
      </c>
      <c r="Q216" s="50" t="str">
        <f>IF(AND('Mapa final'!$AB$35="Muy Baja",'Mapa final'!$AD$35="Moderado"),CONCATENATE("R11C",'Mapa final'!$R$35),"")</f>
        <v/>
      </c>
      <c r="R216" s="111" t="str">
        <f>IF(AND('Mapa final'!$AB$36="Muy Baja",'Mapa final'!$AD$36="Moderado"),CONCATENATE("R11C",'Mapa final'!$R$36),"")</f>
        <v/>
      </c>
      <c r="S216" s="105" t="str">
        <f>IF(AND('Mapa final'!$AB$34="Muy Baja",'Mapa final'!$AD$34="Mayor"),CONCATENATE("R11C",'Mapa final'!$R$34),"")</f>
        <v/>
      </c>
      <c r="T216" s="42" t="str">
        <f>IF(AND('Mapa final'!$AB$35="Muy Baja",'Mapa final'!$AD$35="Mayor"),CONCATENATE("R11C",'Mapa final'!$R$35),"")</f>
        <v/>
      </c>
      <c r="U216" s="106" t="str">
        <f>IF(AND('Mapa final'!$AB$36="Muy Baja",'Mapa final'!$AD$36="Mayor"),CONCATENATE("R11C",'Mapa final'!$R$36),"")</f>
        <v/>
      </c>
      <c r="V216" s="43" t="str">
        <f>IF(AND('Mapa final'!$AB$34="Muy Baja",'Mapa final'!$AD$34="Catastrófico"),CONCATENATE("R11C",'Mapa final'!$R$34),"")</f>
        <v/>
      </c>
      <c r="W216" s="44" t="str">
        <f>IF(AND('Mapa final'!$AB$35="Muy Baja",'Mapa final'!$AD$35="Catastrófico"),CONCATENATE("R11C",'Mapa final'!$R$35),"")</f>
        <v/>
      </c>
      <c r="X216" s="100" t="str">
        <f>IF(AND('Mapa final'!$AB$36="Muy Baja",'Mapa final'!$AD$36="Catastrófico"),CONCATENATE("R11C",'Mapa final'!$R$36),"")</f>
        <v/>
      </c>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c r="BB216" s="56"/>
      <c r="BC216" s="56"/>
      <c r="BD216" s="56"/>
      <c r="BE216" s="56"/>
      <c r="BF216" s="56"/>
      <c r="BG216" s="56"/>
      <c r="BH216" s="56"/>
      <c r="BI216" s="56"/>
      <c r="BJ216" s="56"/>
      <c r="BK216" s="56"/>
      <c r="BL216" s="56"/>
      <c r="BM216" s="56"/>
    </row>
    <row r="217" spans="1:65" ht="15.5" x14ac:dyDescent="0.35">
      <c r="A217" s="56"/>
      <c r="B217" s="300"/>
      <c r="C217" s="300"/>
      <c r="D217" s="301"/>
      <c r="E217" s="287"/>
      <c r="F217" s="288"/>
      <c r="G217" s="288"/>
      <c r="H217" s="288"/>
      <c r="I217" s="288"/>
      <c r="J217" s="115" t="str">
        <f>IF(AND('Mapa final'!$AB$37="Muy Baja",'Mapa final'!$AD$37="Leve"),CONCATENATE("R12C",'Mapa final'!$R$37),"")</f>
        <v/>
      </c>
      <c r="K217" s="54" t="str">
        <f>IF(AND('Mapa final'!$AB$38="Muy Baja",'Mapa final'!$AD$38="Leve"),CONCATENATE("R12C",'Mapa final'!$R$38),"")</f>
        <v/>
      </c>
      <c r="L217" s="116" t="str">
        <f>IF(AND('Mapa final'!$AB$39="Muy Baja",'Mapa final'!$AD$39="Leve"),CONCATENATE("R12C",'Mapa final'!$R$39),"")</f>
        <v/>
      </c>
      <c r="M217" s="115" t="str">
        <f>IF(AND('Mapa final'!$AB$37="Muy Baja",'Mapa final'!$AD$37="Menor"),CONCATENATE("R12C",'Mapa final'!$R$37),"")</f>
        <v/>
      </c>
      <c r="N217" s="54" t="str">
        <f>IF(AND('Mapa final'!$AB$38="Muy Baja",'Mapa final'!$AD$38="Menor"),CONCATENATE("R12C",'Mapa final'!$R$38),"")</f>
        <v/>
      </c>
      <c r="O217" s="116" t="str">
        <f>IF(AND('Mapa final'!$AB$39="Muy Baja",'Mapa final'!$AD$39="Menor"),CONCATENATE("R12C",'Mapa final'!$R$39),"")</f>
        <v/>
      </c>
      <c r="P217" s="49" t="str">
        <f>IF(AND('Mapa final'!$AB$37="Muy Baja",'Mapa final'!$AD$37="Moderado"),CONCATENATE("R12C",'Mapa final'!$R$37),"")</f>
        <v/>
      </c>
      <c r="Q217" s="50" t="str">
        <f>IF(AND('Mapa final'!$AB$38="Muy Baja",'Mapa final'!$AD$38="Moderado"),CONCATENATE("R12C",'Mapa final'!$R$38),"")</f>
        <v/>
      </c>
      <c r="R217" s="111" t="str">
        <f>IF(AND('Mapa final'!$AB$39="Muy Baja",'Mapa final'!$AD$39="Moderado"),CONCATENATE("R12C",'Mapa final'!$R$39),"")</f>
        <v/>
      </c>
      <c r="S217" s="105" t="str">
        <f>IF(AND('Mapa final'!$AB$37="Muy Baja",'Mapa final'!$AD$37="Mayor"),CONCATENATE("R12C",'Mapa final'!$R$37),"")</f>
        <v/>
      </c>
      <c r="T217" s="42" t="str">
        <f>IF(AND('Mapa final'!$AB$38="Muy Baja",'Mapa final'!$AD$38="Mayor"),CONCATENATE("R12C",'Mapa final'!$R$38),"")</f>
        <v/>
      </c>
      <c r="U217" s="106" t="str">
        <f>IF(AND('Mapa final'!$AB$39="Muy Baja",'Mapa final'!$AD$39="Mayor"),CONCATENATE("R12C",'Mapa final'!$R$39),"")</f>
        <v/>
      </c>
      <c r="V217" s="43" t="str">
        <f>IF(AND('Mapa final'!$AB$37="Muy Baja",'Mapa final'!$AD$37="Catastrófico"),CONCATENATE("R12C",'Mapa final'!$R$37),"")</f>
        <v/>
      </c>
      <c r="W217" s="44" t="str">
        <f>IF(AND('Mapa final'!$AB$38="Muy Baja",'Mapa final'!$AD$38="Catastrófico"),CONCATENATE("R12C",'Mapa final'!$R$38),"")</f>
        <v/>
      </c>
      <c r="X217" s="100" t="str">
        <f>IF(AND('Mapa final'!$AB$39="Muy Baja",'Mapa final'!$AD$39="Catastrófico"),CONCATENATE("R12C",'Mapa final'!$R$39),"")</f>
        <v/>
      </c>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56"/>
      <c r="BB217" s="56"/>
      <c r="BC217" s="56"/>
      <c r="BD217" s="56"/>
      <c r="BE217" s="56"/>
      <c r="BF217" s="56"/>
      <c r="BG217" s="56"/>
      <c r="BH217" s="56"/>
      <c r="BI217" s="56"/>
      <c r="BJ217" s="56"/>
      <c r="BK217" s="56"/>
      <c r="BL217" s="56"/>
      <c r="BM217" s="56"/>
    </row>
    <row r="218" spans="1:65" ht="15.5" x14ac:dyDescent="0.35">
      <c r="A218" s="56"/>
      <c r="B218" s="300"/>
      <c r="C218" s="300"/>
      <c r="D218" s="301"/>
      <c r="E218" s="287"/>
      <c r="F218" s="288"/>
      <c r="G218" s="288"/>
      <c r="H218" s="288"/>
      <c r="I218" s="288"/>
      <c r="J218" s="115" t="str">
        <f>IF(AND('Mapa final'!$AB$40="Muy Baja",'Mapa final'!$AD$40="Leve"),CONCATENATE("R13C",'Mapa final'!$R$40),"")</f>
        <v/>
      </c>
      <c r="K218" s="54" t="str">
        <f>IF(AND('Mapa final'!$AB$41="Muy Baja",'Mapa final'!$AD$41="Leve"),CONCATENATE("R13C",'Mapa final'!$R$41),"")</f>
        <v/>
      </c>
      <c r="L218" s="116" t="str">
        <f>IF(AND('Mapa final'!$AB$42="Muy Baja",'Mapa final'!$AD$42="Leve"),CONCATENATE("R13C",'Mapa final'!$R$42),"")</f>
        <v/>
      </c>
      <c r="M218" s="115" t="str">
        <f>IF(AND('Mapa final'!$AB$40="Muy Baja",'Mapa final'!$AD$40="Menor"),CONCATENATE("R13C",'Mapa final'!$R$40),"")</f>
        <v/>
      </c>
      <c r="N218" s="54" t="str">
        <f>IF(AND('Mapa final'!$AB$41="Muy Baja",'Mapa final'!$AD$41="Menor"),CONCATENATE("R13C",'Mapa final'!$R$41),"")</f>
        <v/>
      </c>
      <c r="O218" s="116" t="str">
        <f>IF(AND('Mapa final'!$AB$42="Muy Baja",'Mapa final'!$AD$42="Menor"),CONCATENATE("R13C",'Mapa final'!$R$42),"")</f>
        <v/>
      </c>
      <c r="P218" s="49" t="str">
        <f>IF(AND('Mapa final'!$AB$40="Muy Baja",'Mapa final'!$AD$40="Moderado"),CONCATENATE("R13C",'Mapa final'!$R$40),"")</f>
        <v>R13C1</v>
      </c>
      <c r="Q218" s="50" t="str">
        <f>IF(AND('Mapa final'!$AB$41="Muy Baja",'Mapa final'!$AD$41="Moderado"),CONCATENATE("R13C",'Mapa final'!$R$41),"")</f>
        <v/>
      </c>
      <c r="R218" s="111" t="str">
        <f>IF(AND('Mapa final'!$AB$42="Muy Baja",'Mapa final'!$AD$42="Moderado"),CONCATENATE("R13C",'Mapa final'!$R$42),"")</f>
        <v/>
      </c>
      <c r="S218" s="105" t="str">
        <f>IF(AND('Mapa final'!$AB$40="Muy Baja",'Mapa final'!$AD$40="Mayor"),CONCATENATE("R13C",'Mapa final'!$R$40),"")</f>
        <v/>
      </c>
      <c r="T218" s="42" t="str">
        <f>IF(AND('Mapa final'!$AB$41="Muy Baja",'Mapa final'!$AD$41="Mayor"),CONCATENATE("R13C",'Mapa final'!$R$41),"")</f>
        <v/>
      </c>
      <c r="U218" s="106" t="str">
        <f>IF(AND('Mapa final'!$AB$42="Muy Baja",'Mapa final'!$AD$42="Mayor"),CONCATENATE("R13C",'Mapa final'!$R$42),"")</f>
        <v/>
      </c>
      <c r="V218" s="43" t="str">
        <f>IF(AND('Mapa final'!$AB$40="Muy Baja",'Mapa final'!$AD$40="Catastrófico"),CONCATENATE("R13C",'Mapa final'!$R$40),"")</f>
        <v/>
      </c>
      <c r="W218" s="44" t="str">
        <f>IF(AND('Mapa final'!$AB$41="Muy Baja",'Mapa final'!$AD$41="Catastrófico"),CONCATENATE("R13C",'Mapa final'!$R$41),"")</f>
        <v/>
      </c>
      <c r="X218" s="100" t="str">
        <f>IF(AND('Mapa final'!$AB$42="Muy Baja",'Mapa final'!$AD$42="Catastrófico"),CONCATENATE("R13C",'Mapa final'!$R$42),"")</f>
        <v/>
      </c>
      <c r="Y218" s="56"/>
      <c r="Z218" s="56"/>
      <c r="AA218" s="56"/>
      <c r="AB218" s="56"/>
      <c r="AC218" s="56"/>
      <c r="AD218" s="56"/>
      <c r="AE218" s="56"/>
      <c r="AF218" s="56"/>
      <c r="AG218" s="56"/>
      <c r="AH218" s="56"/>
      <c r="AI218" s="56"/>
      <c r="AJ218" s="56"/>
      <c r="AK218" s="56"/>
      <c r="AL218" s="56"/>
      <c r="AM218" s="56"/>
      <c r="AN218" s="56"/>
      <c r="AO218" s="56"/>
      <c r="AP218" s="56"/>
      <c r="AQ218" s="56"/>
      <c r="AR218" s="56"/>
      <c r="AS218" s="56"/>
      <c r="AT218" s="56"/>
      <c r="AU218" s="56"/>
      <c r="AV218" s="56"/>
      <c r="AW218" s="56"/>
      <c r="AX218" s="56"/>
      <c r="AY218" s="56"/>
      <c r="AZ218" s="56"/>
      <c r="BA218" s="56"/>
      <c r="BB218" s="56"/>
      <c r="BC218" s="56"/>
      <c r="BD218" s="56"/>
      <c r="BE218" s="56"/>
      <c r="BF218" s="56"/>
      <c r="BG218" s="56"/>
      <c r="BH218" s="56"/>
      <c r="BI218" s="56"/>
      <c r="BJ218" s="56"/>
      <c r="BK218" s="56"/>
      <c r="BL218" s="56"/>
      <c r="BM218" s="56"/>
    </row>
    <row r="219" spans="1:65" ht="15.5" x14ac:dyDescent="0.35">
      <c r="A219" s="56"/>
      <c r="B219" s="300"/>
      <c r="C219" s="300"/>
      <c r="D219" s="301"/>
      <c r="E219" s="287"/>
      <c r="F219" s="288"/>
      <c r="G219" s="288"/>
      <c r="H219" s="288"/>
      <c r="I219" s="288"/>
      <c r="J219" s="115" t="str">
        <f>IF(AND('Mapa final'!$AB$43="Muy Baja",'Mapa final'!$AD$43="Leve"),CONCATENATE("R14C",'Mapa final'!$R$43),"")</f>
        <v/>
      </c>
      <c r="K219" s="54" t="str">
        <f>IF(AND('Mapa final'!$AB$44="Muy Baja",'Mapa final'!$AD$44="Leve"),CONCATENATE("R14C",'Mapa final'!$R$44),"")</f>
        <v/>
      </c>
      <c r="L219" s="116" t="str">
        <f>IF(AND('Mapa final'!$AB$45="Muy Baja",'Mapa final'!$AD$45="Leve"),CONCATENATE("R14C",'Mapa final'!$R$45),"")</f>
        <v/>
      </c>
      <c r="M219" s="115" t="str">
        <f>IF(AND('Mapa final'!$AB$43="Muy Baja",'Mapa final'!$AD$43="Menor"),CONCATENATE("R14C",'Mapa final'!$R$43),"")</f>
        <v/>
      </c>
      <c r="N219" s="54" t="str">
        <f>IF(AND('Mapa final'!$AB$44="Muy Baja",'Mapa final'!$AD$44="Menor"),CONCATENATE("R14C",'Mapa final'!$R$44),"")</f>
        <v/>
      </c>
      <c r="O219" s="116" t="str">
        <f>IF(AND('Mapa final'!$AB$45="Muy Baja",'Mapa final'!$AD$45="Menor"),CONCATENATE("R14C",'Mapa final'!$R$45),"")</f>
        <v/>
      </c>
      <c r="P219" s="49" t="str">
        <f>IF(AND('Mapa final'!$AB$43="Muy Baja",'Mapa final'!$AD$43="Moderado"),CONCATENATE("R14C",'Mapa final'!$R$43),"")</f>
        <v/>
      </c>
      <c r="Q219" s="50" t="str">
        <f>IF(AND('Mapa final'!$AB$44="Muy Baja",'Mapa final'!$AD$44="Moderado"),CONCATENATE("R14C",'Mapa final'!$R$44),"")</f>
        <v>R14C2</v>
      </c>
      <c r="R219" s="111" t="str">
        <f>IF(AND('Mapa final'!$AB$45="Muy Baja",'Mapa final'!$AD$45="Moderado"),CONCATENATE("R14C",'Mapa final'!$R$45),"")</f>
        <v/>
      </c>
      <c r="S219" s="105" t="str">
        <f>IF(AND('Mapa final'!$AB$43="Muy Baja",'Mapa final'!$AD$43="Mayor"),CONCATENATE("R14C",'Mapa final'!$R$43),"")</f>
        <v/>
      </c>
      <c r="T219" s="42" t="str">
        <f>IF(AND('Mapa final'!$AB$44="Muy Baja",'Mapa final'!$AD$44="Mayor"),CONCATENATE("R14C",'Mapa final'!$R$44),"")</f>
        <v/>
      </c>
      <c r="U219" s="106" t="str">
        <f>IF(AND('Mapa final'!$AB$45="Muy Baja",'Mapa final'!$AD$45="Mayor"),CONCATENATE("R14C",'Mapa final'!$R$45),"")</f>
        <v/>
      </c>
      <c r="V219" s="43" t="str">
        <f>IF(AND('Mapa final'!$AB$43="Muy Baja",'Mapa final'!$AD$43="Catastrófico"),CONCATENATE("R14C",'Mapa final'!$R$43),"")</f>
        <v/>
      </c>
      <c r="W219" s="44" t="str">
        <f>IF(AND('Mapa final'!$AB$44="Muy Baja",'Mapa final'!$AD$44="Catastrófico"),CONCATENATE("R14C",'Mapa final'!$R$44),"")</f>
        <v/>
      </c>
      <c r="X219" s="100" t="str">
        <f>IF(AND('Mapa final'!$AB$45="Muy Baja",'Mapa final'!$AD$45="Catastrófico"),CONCATENATE("R14C",'Mapa final'!$R$45),"")</f>
        <v/>
      </c>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56"/>
      <c r="BB219" s="56"/>
      <c r="BC219" s="56"/>
      <c r="BD219" s="56"/>
      <c r="BE219" s="56"/>
      <c r="BF219" s="56"/>
      <c r="BG219" s="56"/>
      <c r="BH219" s="56"/>
      <c r="BI219" s="56"/>
      <c r="BJ219" s="56"/>
      <c r="BK219" s="56"/>
      <c r="BL219" s="56"/>
      <c r="BM219" s="56"/>
    </row>
    <row r="220" spans="1:65" ht="15.5" x14ac:dyDescent="0.35">
      <c r="A220" s="56"/>
      <c r="B220" s="300"/>
      <c r="C220" s="300"/>
      <c r="D220" s="301"/>
      <c r="E220" s="287"/>
      <c r="F220" s="288"/>
      <c r="G220" s="288"/>
      <c r="H220" s="288"/>
      <c r="I220" s="288"/>
      <c r="J220" s="115" t="str">
        <f>IF(AND('Mapa final'!$AB$46="Muy Baja",'Mapa final'!$AD$46="Leve"),CONCATENATE("R15C",'Mapa final'!$R$46),"")</f>
        <v/>
      </c>
      <c r="K220" s="54" t="str">
        <f>IF(AND('Mapa final'!$AB$47="Muy Baja",'Mapa final'!$AD$47="Leve"),CONCATENATE("R15C",'Mapa final'!$R$47),"")</f>
        <v/>
      </c>
      <c r="L220" s="116" t="str">
        <f>IF(AND('Mapa final'!$AB$48="Muy Baja",'Mapa final'!$AD$48="Leve"),CONCATENATE("R15C",'Mapa final'!$R$48),"")</f>
        <v/>
      </c>
      <c r="M220" s="115" t="str">
        <f>IF(AND('Mapa final'!$AB$46="Muy Baja",'Mapa final'!$AD$46="Menor"),CONCATENATE("R15C",'Mapa final'!$R$46),"")</f>
        <v/>
      </c>
      <c r="N220" s="54" t="str">
        <f>IF(AND('Mapa final'!$AB$47="Muy Baja",'Mapa final'!$AD$47="Menor"),CONCATENATE("R15C",'Mapa final'!$R$47),"")</f>
        <v/>
      </c>
      <c r="O220" s="116" t="str">
        <f>IF(AND('Mapa final'!$AB$48="Muy Baja",'Mapa final'!$AD$48="Menor"),CONCATENATE("R15C",'Mapa final'!$R$48),"")</f>
        <v/>
      </c>
      <c r="P220" s="49" t="str">
        <f>IF(AND('Mapa final'!$AB$46="Muy Baja",'Mapa final'!$AD$46="Moderado"),CONCATENATE("R15C",'Mapa final'!$R$46),"")</f>
        <v/>
      </c>
      <c r="Q220" s="50" t="str">
        <f>IF(AND('Mapa final'!$AB$47="Muy Baja",'Mapa final'!$AD$47="Moderado"),CONCATENATE("R15C",'Mapa final'!$R$47),"")</f>
        <v/>
      </c>
      <c r="R220" s="111" t="str">
        <f>IF(AND('Mapa final'!$AB$48="Muy Baja",'Mapa final'!$AD$48="Moderado"),CONCATENATE("R15C",'Mapa final'!$R$48),"")</f>
        <v/>
      </c>
      <c r="S220" s="105" t="str">
        <f>IF(AND('Mapa final'!$AB$46="Muy Baja",'Mapa final'!$AD$46="Mayor"),CONCATENATE("R15C",'Mapa final'!$R$46),"")</f>
        <v/>
      </c>
      <c r="T220" s="42" t="str">
        <f>IF(AND('Mapa final'!$AB$47="Muy Baja",'Mapa final'!$AD$47="Mayor"),CONCATENATE("R15C",'Mapa final'!$R$47),"")</f>
        <v/>
      </c>
      <c r="U220" s="106" t="str">
        <f>IF(AND('Mapa final'!$AB$48="Muy Baja",'Mapa final'!$AD$48="Mayor"),CONCATENATE("R15C",'Mapa final'!$R$48),"")</f>
        <v/>
      </c>
      <c r="V220" s="43" t="str">
        <f>IF(AND('Mapa final'!$AB$46="Muy Baja",'Mapa final'!$AD$46="Catastrófico"),CONCATENATE("R15C",'Mapa final'!$R$46),"")</f>
        <v/>
      </c>
      <c r="W220" s="44" t="str">
        <f>IF(AND('Mapa final'!$AB$47="Muy Baja",'Mapa final'!$AD$47="Catastrófico"),CONCATENATE("R15C",'Mapa final'!$R$47),"")</f>
        <v/>
      </c>
      <c r="X220" s="100" t="str">
        <f>IF(AND('Mapa final'!$AB$48="Muy Baja",'Mapa final'!$AD$48="Catastrófico"),CONCATENATE("R15C",'Mapa final'!$R$48),"")</f>
        <v/>
      </c>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56"/>
      <c r="BB220" s="56"/>
      <c r="BC220" s="56"/>
      <c r="BD220" s="56"/>
      <c r="BE220" s="56"/>
      <c r="BF220" s="56"/>
      <c r="BG220" s="56"/>
      <c r="BH220" s="56"/>
      <c r="BI220" s="56"/>
      <c r="BJ220" s="56"/>
      <c r="BK220" s="56"/>
      <c r="BL220" s="56"/>
      <c r="BM220" s="56"/>
    </row>
    <row r="221" spans="1:65" ht="15.5" x14ac:dyDescent="0.35">
      <c r="A221" s="56"/>
      <c r="B221" s="300"/>
      <c r="C221" s="300"/>
      <c r="D221" s="301"/>
      <c r="E221" s="287"/>
      <c r="F221" s="288"/>
      <c r="G221" s="288"/>
      <c r="H221" s="288"/>
      <c r="I221" s="288"/>
      <c r="J221" s="115" t="str">
        <f>IF(AND('Mapa final'!$AB$49="Muy Baja",'Mapa final'!$AD$49="Leve"),CONCATENATE("R16C",'Mapa final'!$R$49),"")</f>
        <v/>
      </c>
      <c r="K221" s="54" t="str">
        <f>IF(AND('Mapa final'!$AB$50="Muy Baja",'Mapa final'!$AD$50="Leve"),CONCATENATE("R16C",'Mapa final'!$R$50),"")</f>
        <v/>
      </c>
      <c r="L221" s="116" t="str">
        <f>IF(AND('Mapa final'!$AB$51="Muy Baja",'Mapa final'!$AD$51="Leve"),CONCATENATE("R16C",'Mapa final'!$R$51),"")</f>
        <v/>
      </c>
      <c r="M221" s="115" t="str">
        <f>IF(AND('Mapa final'!$AB$49="Muy Baja",'Mapa final'!$AD$49="Menor"),CONCATENATE("R16C",'Mapa final'!$R$49),"")</f>
        <v/>
      </c>
      <c r="N221" s="54" t="str">
        <f>IF(AND('Mapa final'!$AB$50="Muy Baja",'Mapa final'!$AD$50="Menor"),CONCATENATE("R16C",'Mapa final'!$R$50),"")</f>
        <v/>
      </c>
      <c r="O221" s="116" t="str">
        <f>IF(AND('Mapa final'!$AB$51="Muy Baja",'Mapa final'!$AD$51="Menor"),CONCATENATE("R16C",'Mapa final'!$R$51),"")</f>
        <v/>
      </c>
      <c r="P221" s="49" t="str">
        <f>IF(AND('Mapa final'!$AB$49="Muy Baja",'Mapa final'!$AD$49="Moderado"),CONCATENATE("R16C",'Mapa final'!$R$49),"")</f>
        <v/>
      </c>
      <c r="Q221" s="50" t="str">
        <f>IF(AND('Mapa final'!$AB$50="Muy Baja",'Mapa final'!$AD$50="Moderado"),CONCATENATE("R16C",'Mapa final'!$R$50),"")</f>
        <v/>
      </c>
      <c r="R221" s="111" t="str">
        <f>IF(AND('Mapa final'!$AB$51="Muy Baja",'Mapa final'!$AD$51="Moderado"),CONCATENATE("R16C",'Mapa final'!$R$51),"")</f>
        <v/>
      </c>
      <c r="S221" s="105" t="str">
        <f>IF(AND('Mapa final'!$AB$49="Muy Baja",'Mapa final'!$AD$49="Mayor"),CONCATENATE("R16C",'Mapa final'!$R$49),"")</f>
        <v/>
      </c>
      <c r="T221" s="42" t="str">
        <f>IF(AND('Mapa final'!$AB$50="Muy Baja",'Mapa final'!$AD$50="Mayor"),CONCATENATE("R16C",'Mapa final'!$R$50),"")</f>
        <v/>
      </c>
      <c r="U221" s="106" t="str">
        <f>IF(AND('Mapa final'!$AB$51="Muy Baja",'Mapa final'!$AD$51="Mayor"),CONCATENATE("R16C",'Mapa final'!$R$51),"")</f>
        <v/>
      </c>
      <c r="V221" s="43" t="str">
        <f>IF(AND('Mapa final'!$AB$49="Muy Baja",'Mapa final'!$AD$49="Catastrófico"),CONCATENATE("R16C",'Mapa final'!$R$49),"")</f>
        <v/>
      </c>
      <c r="W221" s="44" t="str">
        <f>IF(AND('Mapa final'!$AB$50="Muy Baja",'Mapa final'!$AD$50="Catastrófico"),CONCATENATE("R16C",'Mapa final'!$R$50),"")</f>
        <v/>
      </c>
      <c r="X221" s="100" t="str">
        <f>IF(AND('Mapa final'!$AB$51="Muy Baja",'Mapa final'!$AD$51="Catastrófico"),CONCATENATE("R16C",'Mapa final'!$R$51),"")</f>
        <v/>
      </c>
      <c r="Y221" s="56"/>
      <c r="Z221" s="56"/>
      <c r="AA221" s="56"/>
      <c r="AB221" s="56"/>
      <c r="AC221" s="56"/>
      <c r="AD221" s="56"/>
      <c r="AE221" s="56"/>
      <c r="AF221" s="56"/>
      <c r="AG221" s="56"/>
      <c r="AH221" s="56"/>
      <c r="AI221" s="56"/>
      <c r="AJ221" s="56"/>
      <c r="AK221" s="56"/>
      <c r="AL221" s="56"/>
      <c r="AM221" s="56"/>
      <c r="AN221" s="56"/>
      <c r="AO221" s="56"/>
      <c r="AP221" s="56"/>
      <c r="AQ221" s="56"/>
      <c r="AR221" s="56"/>
      <c r="AS221" s="56"/>
      <c r="AT221" s="56"/>
      <c r="AU221" s="56"/>
      <c r="AV221" s="56"/>
      <c r="AW221" s="56"/>
      <c r="AX221" s="56"/>
      <c r="AY221" s="56"/>
      <c r="AZ221" s="56"/>
      <c r="BA221" s="56"/>
      <c r="BB221" s="56"/>
      <c r="BC221" s="56"/>
      <c r="BD221" s="56"/>
      <c r="BE221" s="56"/>
      <c r="BF221" s="56"/>
      <c r="BG221" s="56"/>
      <c r="BH221" s="56"/>
      <c r="BI221" s="56"/>
      <c r="BJ221" s="56"/>
      <c r="BK221" s="56"/>
      <c r="BL221" s="56"/>
      <c r="BM221" s="56"/>
    </row>
    <row r="222" spans="1:65" ht="15.5" x14ac:dyDescent="0.35">
      <c r="A222" s="56"/>
      <c r="B222" s="300"/>
      <c r="C222" s="300"/>
      <c r="D222" s="301"/>
      <c r="E222" s="287"/>
      <c r="F222" s="288"/>
      <c r="G222" s="288"/>
      <c r="H222" s="288"/>
      <c r="I222" s="288"/>
      <c r="J222" s="115" t="str">
        <f>IF(AND('Mapa final'!$AB$52="Muy Baja",'Mapa final'!$AD$52="Leve"),CONCATENATE("R17C",'Mapa final'!$R$52),"")</f>
        <v/>
      </c>
      <c r="K222" s="54" t="str">
        <f>IF(AND('Mapa final'!$AB$53="Muy Baja",'Mapa final'!$AD$53="Leve"),CONCATENATE("R17C",'Mapa final'!$R$53),"")</f>
        <v/>
      </c>
      <c r="L222" s="116" t="str">
        <f>IF(AND('Mapa final'!$AB$54="Muy Baja",'Mapa final'!$AD$54="Leve"),CONCATENATE("R17C",'Mapa final'!$R$54),"")</f>
        <v/>
      </c>
      <c r="M222" s="115" t="str">
        <f>IF(AND('Mapa final'!$AB$52="Muy Baja",'Mapa final'!$AD$52="Menor"),CONCATENATE("R17C",'Mapa final'!$R$52),"")</f>
        <v/>
      </c>
      <c r="N222" s="54" t="str">
        <f>IF(AND('Mapa final'!$AB$53="Muy Baja",'Mapa final'!$AD$53="Menor"),CONCATENATE("R17C",'Mapa final'!$R$53),"")</f>
        <v/>
      </c>
      <c r="O222" s="116" t="str">
        <f>IF(AND('Mapa final'!$AB$54="Muy Baja",'Mapa final'!$AD$54="Menor"),CONCATENATE("R17C",'Mapa final'!$R$54),"")</f>
        <v/>
      </c>
      <c r="P222" s="49" t="str">
        <f>IF(AND('Mapa final'!$AB$52="Muy Baja",'Mapa final'!$AD$52="Moderado"),CONCATENATE("R17C",'Mapa final'!$R$52),"")</f>
        <v/>
      </c>
      <c r="Q222" s="50" t="str">
        <f>IF(AND('Mapa final'!$AB$53="Muy Baja",'Mapa final'!$AD$53="Moderado"),CONCATENATE("R17C",'Mapa final'!$R$53),"")</f>
        <v/>
      </c>
      <c r="R222" s="111" t="str">
        <f>IF(AND('Mapa final'!$AB$54="Muy Baja",'Mapa final'!$AD$54="Moderado"),CONCATENATE("R17C",'Mapa final'!$R$54),"")</f>
        <v/>
      </c>
      <c r="S222" s="105" t="str">
        <f>IF(AND('Mapa final'!$AB$52="Muy Baja",'Mapa final'!$AD$52="Mayor"),CONCATENATE("R17C",'Mapa final'!$R$52),"")</f>
        <v/>
      </c>
      <c r="T222" s="42" t="str">
        <f>IF(AND('Mapa final'!$AB$53="Muy Baja",'Mapa final'!$AD$53="Mayor"),CONCATENATE("R17C",'Mapa final'!$R$53),"")</f>
        <v/>
      </c>
      <c r="U222" s="106" t="str">
        <f>IF(AND('Mapa final'!$AB$54="Muy Baja",'Mapa final'!$AD$54="Mayor"),CONCATENATE("R17C",'Mapa final'!$R$54),"")</f>
        <v/>
      </c>
      <c r="V222" s="43" t="str">
        <f>IF(AND('Mapa final'!$AB$52="Muy Baja",'Mapa final'!$AD$52="Catastrófico"),CONCATENATE("R17C",'Mapa final'!$R$52),"")</f>
        <v/>
      </c>
      <c r="W222" s="44" t="str">
        <f>IF(AND('Mapa final'!$AB$53="Muy Baja",'Mapa final'!$AD$53="Catastrófico"),CONCATENATE("R17C",'Mapa final'!$R$53),"")</f>
        <v/>
      </c>
      <c r="X222" s="100" t="str">
        <f>IF(AND('Mapa final'!$AB$54="Muy Baja",'Mapa final'!$AD$54="Catastrófico"),CONCATENATE("R17C",'Mapa final'!$R$54),"")</f>
        <v/>
      </c>
      <c r="Y222" s="56"/>
      <c r="Z222" s="56"/>
      <c r="AA222" s="56"/>
      <c r="AB222" s="56"/>
      <c r="AC222" s="56"/>
      <c r="AD222" s="56"/>
      <c r="AE222" s="56"/>
      <c r="AF222" s="56"/>
      <c r="AG222" s="56"/>
      <c r="AH222" s="56"/>
      <c r="AI222" s="56"/>
      <c r="AJ222" s="56"/>
      <c r="AK222" s="56"/>
      <c r="AL222" s="56"/>
      <c r="AM222" s="56"/>
      <c r="AN222" s="56"/>
      <c r="AO222" s="56"/>
      <c r="AP222" s="56"/>
      <c r="AQ222" s="56"/>
      <c r="AR222" s="56"/>
      <c r="AS222" s="56"/>
      <c r="AT222" s="56"/>
      <c r="AU222" s="56"/>
      <c r="AV222" s="56"/>
      <c r="AW222" s="56"/>
      <c r="AX222" s="56"/>
      <c r="AY222" s="56"/>
      <c r="AZ222" s="56"/>
      <c r="BA222" s="56"/>
      <c r="BB222" s="56"/>
      <c r="BC222" s="56"/>
      <c r="BD222" s="56"/>
      <c r="BE222" s="56"/>
      <c r="BF222" s="56"/>
      <c r="BG222" s="56"/>
      <c r="BH222" s="56"/>
      <c r="BI222" s="56"/>
      <c r="BJ222" s="56"/>
      <c r="BK222" s="56"/>
      <c r="BL222" s="56"/>
      <c r="BM222" s="56"/>
    </row>
    <row r="223" spans="1:65" ht="15.5" x14ac:dyDescent="0.35">
      <c r="A223" s="56"/>
      <c r="B223" s="300"/>
      <c r="C223" s="300"/>
      <c r="D223" s="301"/>
      <c r="E223" s="287"/>
      <c r="F223" s="288"/>
      <c r="G223" s="288"/>
      <c r="H223" s="288"/>
      <c r="I223" s="288"/>
      <c r="J223" s="115" t="str">
        <f>IF(AND('Mapa final'!$AB$55="Muy Baja",'Mapa final'!$AD$55="Leve"),CONCATENATE("R18C",'Mapa final'!$R$55),"")</f>
        <v/>
      </c>
      <c r="K223" s="54" t="str">
        <f>IF(AND('Mapa final'!$AB$56="Muy Baja",'Mapa final'!$AD$56="Leve"),CONCATENATE("R18C",'Mapa final'!$R$56),"")</f>
        <v/>
      </c>
      <c r="L223" s="116" t="str">
        <f>IF(AND('Mapa final'!$AB$57="Muy Baja",'Mapa final'!$AD$57="Leve"),CONCATENATE("R18C",'Mapa final'!$R$57),"")</f>
        <v/>
      </c>
      <c r="M223" s="115" t="str">
        <f>IF(AND('Mapa final'!$AB$55="Muy Baja",'Mapa final'!$AD$55="Menor"),CONCATENATE("R18C",'Mapa final'!$R$55),"")</f>
        <v/>
      </c>
      <c r="N223" s="54" t="str">
        <f>IF(AND('Mapa final'!$AB$56="Muy Baja",'Mapa final'!$AD$56="Menor"),CONCATENATE("R18C",'Mapa final'!$R$56),"")</f>
        <v/>
      </c>
      <c r="O223" s="116" t="str">
        <f>IF(AND('Mapa final'!$AB$57="Muy Baja",'Mapa final'!$AD$57="Menor"),CONCATENATE("R18C",'Mapa final'!$R$57),"")</f>
        <v/>
      </c>
      <c r="P223" s="49" t="str">
        <f>IF(AND('Mapa final'!$AB$55="Muy Baja",'Mapa final'!$AD$55="Moderado"),CONCATENATE("R18C",'Mapa final'!$R$55),"")</f>
        <v/>
      </c>
      <c r="Q223" s="50" t="str">
        <f>IF(AND('Mapa final'!$AB$56="Muy Baja",'Mapa final'!$AD$56="Moderado"),CONCATENATE("R18C",'Mapa final'!$R$56),"")</f>
        <v/>
      </c>
      <c r="R223" s="111" t="str">
        <f>IF(AND('Mapa final'!$AB$57="Muy Baja",'Mapa final'!$AD$57="Moderado"),CONCATENATE("R18C",'Mapa final'!$R$57),"")</f>
        <v/>
      </c>
      <c r="S223" s="105" t="str">
        <f>IF(AND('Mapa final'!$AB$55="Muy Baja",'Mapa final'!$AD$55="Mayor"),CONCATENATE("R18C",'Mapa final'!$R$55),"")</f>
        <v/>
      </c>
      <c r="T223" s="42" t="str">
        <f>IF(AND('Mapa final'!$AB$56="Muy Baja",'Mapa final'!$AD$56="Mayor"),CONCATENATE("R18C",'Mapa final'!$R$56),"")</f>
        <v/>
      </c>
      <c r="U223" s="106" t="str">
        <f>IF(AND('Mapa final'!$AB$57="Muy Baja",'Mapa final'!$AD$57="Mayor"),CONCATENATE("R18C",'Mapa final'!$R$57),"")</f>
        <v/>
      </c>
      <c r="V223" s="43" t="str">
        <f>IF(AND('Mapa final'!$AB$55="Muy Baja",'Mapa final'!$AD$55="Catastrófico"),CONCATENATE("R18C",'Mapa final'!$R$55),"")</f>
        <v/>
      </c>
      <c r="W223" s="44" t="str">
        <f>IF(AND('Mapa final'!$AB$56="Muy Baja",'Mapa final'!$AD$56="Catastrófico"),CONCATENATE("R18C",'Mapa final'!$R$56),"")</f>
        <v/>
      </c>
      <c r="X223" s="100" t="str">
        <f>IF(AND('Mapa final'!$AB$57="Muy Baja",'Mapa final'!$AD$57="Catastrófico"),CONCATENATE("R18C",'Mapa final'!$R$57),"")</f>
        <v/>
      </c>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c r="AV223" s="56"/>
      <c r="AW223" s="56"/>
      <c r="AX223" s="56"/>
      <c r="AY223" s="56"/>
      <c r="AZ223" s="56"/>
      <c r="BA223" s="56"/>
      <c r="BB223" s="56"/>
      <c r="BC223" s="56"/>
      <c r="BD223" s="56"/>
      <c r="BE223" s="56"/>
      <c r="BF223" s="56"/>
      <c r="BG223" s="56"/>
      <c r="BH223" s="56"/>
      <c r="BI223" s="56"/>
      <c r="BJ223" s="56"/>
      <c r="BK223" s="56"/>
      <c r="BL223" s="56"/>
      <c r="BM223" s="56"/>
    </row>
    <row r="224" spans="1:65" ht="15.5" x14ac:dyDescent="0.35">
      <c r="A224" s="56"/>
      <c r="B224" s="300"/>
      <c r="C224" s="300"/>
      <c r="D224" s="301"/>
      <c r="E224" s="287"/>
      <c r="F224" s="288"/>
      <c r="G224" s="288"/>
      <c r="H224" s="288"/>
      <c r="I224" s="288"/>
      <c r="J224" s="115" t="str">
        <f>IF(AND('Mapa final'!$AB$58="Muy Baja",'Mapa final'!$AD$58="Leve"),CONCATENATE("R19C",'Mapa final'!$R$58),"")</f>
        <v/>
      </c>
      <c r="K224" s="54" t="str">
        <f>IF(AND('Mapa final'!$AB$59="Muy Baja",'Mapa final'!$AD$59="Leve"),CONCATENATE("R19C",'Mapa final'!$R$59),"")</f>
        <v/>
      </c>
      <c r="L224" s="116" t="str">
        <f>IF(AND('Mapa final'!$AB$60="Muy Baja",'Mapa final'!$AD$60="Leve"),CONCATENATE("R19C",'Mapa final'!$R$60),"")</f>
        <v/>
      </c>
      <c r="M224" s="115" t="str">
        <f>IF(AND('Mapa final'!$AB$58="Muy Baja",'Mapa final'!$AD$58="Menor"),CONCATENATE("R19C",'Mapa final'!$R$58),"")</f>
        <v/>
      </c>
      <c r="N224" s="54" t="str">
        <f>IF(AND('Mapa final'!$AB$59="Muy Baja",'Mapa final'!$AD$59="Menor"),CONCATENATE("R19C",'Mapa final'!$R$59),"")</f>
        <v/>
      </c>
      <c r="O224" s="116" t="str">
        <f>IF(AND('Mapa final'!$AB$60="Muy Baja",'Mapa final'!$AD$60="Menor"),CONCATENATE("R19C",'Mapa final'!$R$60),"")</f>
        <v/>
      </c>
      <c r="P224" s="49" t="str">
        <f>IF(AND('Mapa final'!$AB$58="Muy Baja",'Mapa final'!$AD$58="Moderado"),CONCATENATE("R19C",'Mapa final'!$R$58),"")</f>
        <v/>
      </c>
      <c r="Q224" s="50" t="str">
        <f>IF(AND('Mapa final'!$AB$59="Muy Baja",'Mapa final'!$AD$59="Moderado"),CONCATENATE("R19C",'Mapa final'!$R$59),"")</f>
        <v/>
      </c>
      <c r="R224" s="111" t="str">
        <f>IF(AND('Mapa final'!$AB$60="Muy Baja",'Mapa final'!$AD$60="Moderado"),CONCATENATE("R19C",'Mapa final'!$R$60),"")</f>
        <v/>
      </c>
      <c r="S224" s="105" t="str">
        <f>IF(AND('Mapa final'!$AB$58="Muy Baja",'Mapa final'!$AD$58="Mayor"),CONCATENATE("R19C",'Mapa final'!$R$58),"")</f>
        <v/>
      </c>
      <c r="T224" s="42" t="str">
        <f>IF(AND('Mapa final'!$AB$59="Muy Baja",'Mapa final'!$AD$59="Mayor"),CONCATENATE("R19C",'Mapa final'!$R$59),"")</f>
        <v/>
      </c>
      <c r="U224" s="106" t="str">
        <f>IF(AND('Mapa final'!$AB$60="Muy Baja",'Mapa final'!$AD$60="Mayor"),CONCATENATE("R19C",'Mapa final'!$R$60),"")</f>
        <v/>
      </c>
      <c r="V224" s="43" t="str">
        <f>IF(AND('Mapa final'!$AB$58="Muy Baja",'Mapa final'!$AD$58="Catastrófico"),CONCATENATE("R19C",'Mapa final'!$R$58),"")</f>
        <v/>
      </c>
      <c r="W224" s="44" t="str">
        <f>IF(AND('Mapa final'!$AB$59="Muy Baja",'Mapa final'!$AD$59="Catastrófico"),CONCATENATE("R19C",'Mapa final'!$R$59),"")</f>
        <v/>
      </c>
      <c r="X224" s="100" t="str">
        <f>IF(AND('Mapa final'!$AB$60="Muy Baja",'Mapa final'!$AD$60="Catastrófico"),CONCATENATE("R19C",'Mapa final'!$R$60),"")</f>
        <v/>
      </c>
      <c r="Y224" s="56"/>
      <c r="Z224" s="56"/>
      <c r="AA224" s="56"/>
      <c r="AB224" s="56"/>
      <c r="AC224" s="56"/>
      <c r="AD224" s="56"/>
      <c r="AE224" s="56"/>
      <c r="AF224" s="56"/>
      <c r="AG224" s="56"/>
      <c r="AH224" s="56"/>
      <c r="AI224" s="56"/>
      <c r="AJ224" s="56"/>
      <c r="AK224" s="56"/>
      <c r="AL224" s="56"/>
      <c r="AM224" s="56"/>
      <c r="AN224" s="56"/>
      <c r="AO224" s="56"/>
      <c r="AP224" s="56"/>
      <c r="AQ224" s="56"/>
      <c r="AR224" s="56"/>
      <c r="AS224" s="56"/>
      <c r="AT224" s="56"/>
      <c r="AU224" s="56"/>
      <c r="AV224" s="56"/>
      <c r="AW224" s="56"/>
      <c r="AX224" s="56"/>
      <c r="AY224" s="56"/>
      <c r="AZ224" s="56"/>
      <c r="BA224" s="56"/>
      <c r="BB224" s="56"/>
      <c r="BC224" s="56"/>
      <c r="BD224" s="56"/>
      <c r="BE224" s="56"/>
      <c r="BF224" s="56"/>
      <c r="BG224" s="56"/>
      <c r="BH224" s="56"/>
      <c r="BI224" s="56"/>
      <c r="BJ224" s="56"/>
      <c r="BK224" s="56"/>
      <c r="BL224" s="56"/>
      <c r="BM224" s="56"/>
    </row>
    <row r="225" spans="1:65" ht="15.5" x14ac:dyDescent="0.35">
      <c r="A225" s="56"/>
      <c r="B225" s="300"/>
      <c r="C225" s="300"/>
      <c r="D225" s="301"/>
      <c r="E225" s="287"/>
      <c r="F225" s="288"/>
      <c r="G225" s="288"/>
      <c r="H225" s="288"/>
      <c r="I225" s="288"/>
      <c r="J225" s="115" t="str">
        <f>IF(AND('Mapa final'!$AB$61="Muy Baja",'Mapa final'!$AD$61="Leve"),CONCATENATE("R20C",'Mapa final'!$R$61),"")</f>
        <v/>
      </c>
      <c r="K225" s="54" t="str">
        <f>IF(AND('Mapa final'!$AB$62="Muy Baja",'Mapa final'!$AD$62="Leve"),CONCATENATE("R20C",'Mapa final'!$R$62),"")</f>
        <v/>
      </c>
      <c r="L225" s="116" t="str">
        <f>IF(AND('Mapa final'!$AB$63="Muy Baja",'Mapa final'!$AD$63="Leve"),CONCATENATE("R20C",'Mapa final'!$R$63),"")</f>
        <v/>
      </c>
      <c r="M225" s="115" t="str">
        <f>IF(AND('Mapa final'!$AB$61="Muy Baja",'Mapa final'!$AD$61="Menor"),CONCATENATE("R20C",'Mapa final'!$R$61),"")</f>
        <v/>
      </c>
      <c r="N225" s="54" t="str">
        <f>IF(AND('Mapa final'!$AB$62="Muy Baja",'Mapa final'!$AD$62="Menor"),CONCATENATE("R20C",'Mapa final'!$R$62),"")</f>
        <v/>
      </c>
      <c r="O225" s="116" t="str">
        <f>IF(AND('Mapa final'!$AB$63="Muy Baja",'Mapa final'!$AD$63="Menor"),CONCATENATE("R20C",'Mapa final'!$R$63),"")</f>
        <v/>
      </c>
      <c r="P225" s="49" t="str">
        <f>IF(AND('Mapa final'!$AB$61="Muy Baja",'Mapa final'!$AD$61="Moderado"),CONCATENATE("R20C",'Mapa final'!$R$61),"")</f>
        <v/>
      </c>
      <c r="Q225" s="50" t="str">
        <f>IF(AND('Mapa final'!$AB$62="Muy Baja",'Mapa final'!$AD$62="Moderado"),CONCATENATE("R20C",'Mapa final'!$R$62),"")</f>
        <v/>
      </c>
      <c r="R225" s="111" t="str">
        <f>IF(AND('Mapa final'!$AB$63="Muy Baja",'Mapa final'!$AD$63="Moderado"),CONCATENATE("R20C",'Mapa final'!$R$63),"")</f>
        <v/>
      </c>
      <c r="S225" s="105" t="str">
        <f>IF(AND('Mapa final'!$AB$61="Muy Baja",'Mapa final'!$AD$61="Mayor"),CONCATENATE("R20C",'Mapa final'!$R$61),"")</f>
        <v/>
      </c>
      <c r="T225" s="42" t="str">
        <f>IF(AND('Mapa final'!$AB$62="Muy Baja",'Mapa final'!$AD$62="Mayor"),CONCATENATE("R20C",'Mapa final'!$R$62),"")</f>
        <v/>
      </c>
      <c r="U225" s="106" t="str">
        <f>IF(AND('Mapa final'!$AB$63="Muy Baja",'Mapa final'!$AD$63="Mayor"),CONCATENATE("R20C",'Mapa final'!$R$63),"")</f>
        <v/>
      </c>
      <c r="V225" s="43" t="str">
        <f>IF(AND('Mapa final'!$AB$61="Muy Baja",'Mapa final'!$AD$61="Catastrófico"),CONCATENATE("R20C",'Mapa final'!$R$61),"")</f>
        <v/>
      </c>
      <c r="W225" s="44" t="str">
        <f>IF(AND('Mapa final'!$AB$62="Muy Baja",'Mapa final'!$AD$62="Catastrófico"),CONCATENATE("R20C",'Mapa final'!$R$62),"")</f>
        <v/>
      </c>
      <c r="X225" s="100" t="str">
        <f>IF(AND('Mapa final'!$AB$63="Muy Baja",'Mapa final'!$AD$63="Catastrófico"),CONCATENATE("R20C",'Mapa final'!$R$63),"")</f>
        <v/>
      </c>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c r="BB225" s="56"/>
      <c r="BC225" s="56"/>
      <c r="BD225" s="56"/>
      <c r="BE225" s="56"/>
      <c r="BF225" s="56"/>
      <c r="BG225" s="56"/>
      <c r="BH225" s="56"/>
      <c r="BI225" s="56"/>
      <c r="BJ225" s="56"/>
      <c r="BK225" s="56"/>
      <c r="BL225" s="56"/>
      <c r="BM225" s="56"/>
    </row>
    <row r="226" spans="1:65" ht="15.5" x14ac:dyDescent="0.35">
      <c r="A226" s="56"/>
      <c r="B226" s="300"/>
      <c r="C226" s="300"/>
      <c r="D226" s="301"/>
      <c r="E226" s="287"/>
      <c r="F226" s="288"/>
      <c r="G226" s="288"/>
      <c r="H226" s="288"/>
      <c r="I226" s="288"/>
      <c r="J226" s="115" t="str">
        <f>IF(AND('Mapa final'!$AB$64="Muy Baja",'Mapa final'!$AD$64="Leve"),CONCATENATE("R21C",'Mapa final'!$R$64),"")</f>
        <v/>
      </c>
      <c r="K226" s="54" t="str">
        <f>IF(AND('Mapa final'!$AB$65="Muy Baja",'Mapa final'!$AD$65="Leve"),CONCATENATE("R21C",'Mapa final'!$R$65),"")</f>
        <v/>
      </c>
      <c r="L226" s="116" t="str">
        <f>IF(AND('Mapa final'!$AB$66="Muy Baja",'Mapa final'!$AD$66="Leve"),CONCATENATE("R21C",'Mapa final'!$R$66),"")</f>
        <v/>
      </c>
      <c r="M226" s="115" t="str">
        <f>IF(AND('Mapa final'!$AB$64="Muy Baja",'Mapa final'!$AD$64="Menor"),CONCATENATE("R21C",'Mapa final'!$R$64),"")</f>
        <v/>
      </c>
      <c r="N226" s="54" t="str">
        <f>IF(AND('Mapa final'!$AB$65="Muy Baja",'Mapa final'!$AD$65="Menor"),CONCATENATE("R21C",'Mapa final'!$R$65),"")</f>
        <v/>
      </c>
      <c r="O226" s="116" t="str">
        <f>IF(AND('Mapa final'!$AB$66="Muy Baja",'Mapa final'!$AD$66="Menor"),CONCATENATE("R21C",'Mapa final'!$R$66),"")</f>
        <v/>
      </c>
      <c r="P226" s="49" t="str">
        <f>IF(AND('Mapa final'!$AB$64="Muy Baja",'Mapa final'!$AD$64="Moderado"),CONCATENATE("R21C",'Mapa final'!$R$64),"")</f>
        <v/>
      </c>
      <c r="Q226" s="50" t="str">
        <f>IF(AND('Mapa final'!$AB$65="Muy Baja",'Mapa final'!$AD$65="Moderado"),CONCATENATE("R21C",'Mapa final'!$R$65),"")</f>
        <v/>
      </c>
      <c r="R226" s="111" t="str">
        <f>IF(AND('Mapa final'!$AB$66="Muy Baja",'Mapa final'!$AD$66="Moderado"),CONCATENATE("R21C",'Mapa final'!$R$66),"")</f>
        <v/>
      </c>
      <c r="S226" s="105" t="str">
        <f>IF(AND('Mapa final'!$AB$64="Muy Baja",'Mapa final'!$AD$64="Mayor"),CONCATENATE("R21C",'Mapa final'!$R$64),"")</f>
        <v/>
      </c>
      <c r="T226" s="42" t="str">
        <f>IF(AND('Mapa final'!$AB$65="Muy Baja",'Mapa final'!$AD$65="Mayor"),CONCATENATE("R21C",'Mapa final'!$R$65),"")</f>
        <v/>
      </c>
      <c r="U226" s="106" t="str">
        <f>IF(AND('Mapa final'!$AB$66="Muy Baja",'Mapa final'!$AD$66="Mayor"),CONCATENATE("R21C",'Mapa final'!$R$66),"")</f>
        <v/>
      </c>
      <c r="V226" s="43" t="str">
        <f>IF(AND('Mapa final'!$AB$64="Muy Baja",'Mapa final'!$AD$64="Catastrófico"),CONCATENATE("R21C",'Mapa final'!$R$64),"")</f>
        <v/>
      </c>
      <c r="W226" s="44" t="str">
        <f>IF(AND('Mapa final'!$AB$65="Muy Baja",'Mapa final'!$AD$65="Catastrófico"),CONCATENATE("R21C",'Mapa final'!$R$65),"")</f>
        <v/>
      </c>
      <c r="X226" s="100" t="str">
        <f>IF(AND('Mapa final'!$AB$66="Muy Baja",'Mapa final'!$AD$66="Catastrófico"),CONCATENATE("R21C",'Mapa final'!$R$66),"")</f>
        <v/>
      </c>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c r="BB226" s="56"/>
      <c r="BC226" s="56"/>
      <c r="BD226" s="56"/>
      <c r="BE226" s="56"/>
      <c r="BF226" s="56"/>
      <c r="BG226" s="56"/>
      <c r="BH226" s="56"/>
      <c r="BI226" s="56"/>
      <c r="BJ226" s="56"/>
      <c r="BK226" s="56"/>
      <c r="BL226" s="56"/>
      <c r="BM226" s="56"/>
    </row>
    <row r="227" spans="1:65" ht="15.5" x14ac:dyDescent="0.35">
      <c r="A227" s="56"/>
      <c r="B227" s="300"/>
      <c r="C227" s="300"/>
      <c r="D227" s="301"/>
      <c r="E227" s="287"/>
      <c r="F227" s="288"/>
      <c r="G227" s="288"/>
      <c r="H227" s="288"/>
      <c r="I227" s="288"/>
      <c r="J227" s="115" t="str">
        <f>IF(AND('Mapa final'!$AB$67="Muy Baja",'Mapa final'!$AD$67="Leve"),CONCATENATE("R22C",'Mapa final'!$R$67),"")</f>
        <v/>
      </c>
      <c r="K227" s="54" t="str">
        <f>IF(AND('Mapa final'!$AB$68="Muy Baja",'Mapa final'!$AD$68="Leve"),CONCATENATE("R22C",'Mapa final'!$R$68),"")</f>
        <v/>
      </c>
      <c r="L227" s="116" t="str">
        <f>IF(AND('Mapa final'!$AB$69="Muy Baja",'Mapa final'!$AD$69="Leve"),CONCATENATE("R22C",'Mapa final'!$R$69),"")</f>
        <v/>
      </c>
      <c r="M227" s="115" t="str">
        <f>IF(AND('Mapa final'!$AB$67="Muy Baja",'Mapa final'!$AD$67="Menor"),CONCATENATE("R22C",'Mapa final'!$R$67),"")</f>
        <v/>
      </c>
      <c r="N227" s="54" t="str">
        <f>IF(AND('Mapa final'!$AB$68="Muy Baja",'Mapa final'!$AD$68="Menor"),CONCATENATE("R22C",'Mapa final'!$R$68),"")</f>
        <v/>
      </c>
      <c r="O227" s="116" t="str">
        <f>IF(AND('Mapa final'!$AB$69="Muy Baja",'Mapa final'!$AD$69="Menor"),CONCATENATE("R22C",'Mapa final'!$R$69),"")</f>
        <v/>
      </c>
      <c r="P227" s="49" t="str">
        <f>IF(AND('Mapa final'!$AB$67="Muy Baja",'Mapa final'!$AD$67="Moderado"),CONCATENATE("R22C",'Mapa final'!$R$67),"")</f>
        <v/>
      </c>
      <c r="Q227" s="50" t="str">
        <f>IF(AND('Mapa final'!$AB$68="Muy Baja",'Mapa final'!$AD$68="Moderado"),CONCATENATE("R22C",'Mapa final'!$R$68),"")</f>
        <v/>
      </c>
      <c r="R227" s="111" t="str">
        <f>IF(AND('Mapa final'!$AB$69="Muy Baja",'Mapa final'!$AD$69="Moderado"),CONCATENATE("R22C",'Mapa final'!$R$69),"")</f>
        <v/>
      </c>
      <c r="S227" s="105" t="str">
        <f>IF(AND('Mapa final'!$AB$67="Muy Baja",'Mapa final'!$AD$67="Mayor"),CONCATENATE("R22C",'Mapa final'!$R$67),"")</f>
        <v/>
      </c>
      <c r="T227" s="42" t="str">
        <f>IF(AND('Mapa final'!$AB$68="Muy Baja",'Mapa final'!$AD$68="Mayor"),CONCATENATE("R22C",'Mapa final'!$R$68),"")</f>
        <v/>
      </c>
      <c r="U227" s="106" t="str">
        <f>IF(AND('Mapa final'!$AB$69="Muy Baja",'Mapa final'!$AD$69="Mayor"),CONCATENATE("R22C",'Mapa final'!$R$69),"")</f>
        <v/>
      </c>
      <c r="V227" s="43" t="str">
        <f>IF(AND('Mapa final'!$AB$67="Muy Baja",'Mapa final'!$AD$67="Catastrófico"),CONCATENATE("R22C",'Mapa final'!$R$67),"")</f>
        <v/>
      </c>
      <c r="W227" s="44" t="str">
        <f>IF(AND('Mapa final'!$AB$68="Muy Baja",'Mapa final'!$AD$68="Catastrófico"),CONCATENATE("R22C",'Mapa final'!$R$68),"")</f>
        <v/>
      </c>
      <c r="X227" s="100" t="str">
        <f>IF(AND('Mapa final'!$AB$69="Muy Baja",'Mapa final'!$AD$69="Catastrófico"),CONCATENATE("R22C",'Mapa final'!$R$69),"")</f>
        <v/>
      </c>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c r="AZ227" s="56"/>
      <c r="BA227" s="56"/>
      <c r="BB227" s="56"/>
      <c r="BC227" s="56"/>
      <c r="BD227" s="56"/>
      <c r="BE227" s="56"/>
      <c r="BF227" s="56"/>
      <c r="BG227" s="56"/>
      <c r="BH227" s="56"/>
      <c r="BI227" s="56"/>
      <c r="BJ227" s="56"/>
      <c r="BK227" s="56"/>
      <c r="BL227" s="56"/>
      <c r="BM227" s="56"/>
    </row>
    <row r="228" spans="1:65" ht="15.5" x14ac:dyDescent="0.35">
      <c r="A228" s="56"/>
      <c r="B228" s="300"/>
      <c r="C228" s="300"/>
      <c r="D228" s="301"/>
      <c r="E228" s="287"/>
      <c r="F228" s="288"/>
      <c r="G228" s="288"/>
      <c r="H228" s="288"/>
      <c r="I228" s="288"/>
      <c r="J228" s="115" t="str">
        <f>IF(AND('Mapa final'!$AB$73="Muy Baja",'Mapa final'!$AD$73="Leve"),CONCATENATE("R23C",'Mapa final'!$R$73),"")</f>
        <v/>
      </c>
      <c r="K228" s="54" t="str">
        <f>IF(AND('Mapa final'!$AB$74="Muy Baja",'Mapa final'!$AD$74="Leve"),CONCATENATE("R23C",'Mapa final'!$R$74),"")</f>
        <v/>
      </c>
      <c r="L228" s="116" t="str">
        <f>IF(AND('Mapa final'!$AB$75="Muy Baja",'Mapa final'!$AD$75="Leve"),CONCATENATE("R23C",'Mapa final'!$R$75),"")</f>
        <v/>
      </c>
      <c r="M228" s="115" t="str">
        <f>IF(AND('Mapa final'!$AB$73="Muy Baja",'Mapa final'!$AD$73="Menor"),CONCATENATE("R23C",'Mapa final'!$R$73),"")</f>
        <v/>
      </c>
      <c r="N228" s="54" t="str">
        <f>IF(AND('Mapa final'!$AB$74="Muy Baja",'Mapa final'!$AD$74="Menor"),CONCATENATE("R23C",'Mapa final'!$R$74),"")</f>
        <v/>
      </c>
      <c r="O228" s="116" t="str">
        <f>IF(AND('Mapa final'!$AB$75="Muy Baja",'Mapa final'!$AD$75="Menor"),CONCATENATE("R23C",'Mapa final'!$R$75),"")</f>
        <v/>
      </c>
      <c r="P228" s="49" t="str">
        <f>IF(AND('Mapa final'!$AB$73="Muy Baja",'Mapa final'!$AD$73="Moderado"),CONCATENATE("R23C",'Mapa final'!$R$73),"")</f>
        <v/>
      </c>
      <c r="Q228" s="50" t="str">
        <f>IF(AND('Mapa final'!$AB$74="Muy Baja",'Mapa final'!$AD$74="Moderado"),CONCATENATE("R23C",'Mapa final'!$R$74),"")</f>
        <v/>
      </c>
      <c r="R228" s="111" t="str">
        <f>IF(AND('Mapa final'!$AB$75="Muy Baja",'Mapa final'!$AD$75="Moderado"),CONCATENATE("R23C",'Mapa final'!$R$75),"")</f>
        <v/>
      </c>
      <c r="S228" s="105" t="str">
        <f>IF(AND('Mapa final'!$AB$73="Muy Baja",'Mapa final'!$AD$73="Mayor"),CONCATENATE("R23C",'Mapa final'!$R$73),"")</f>
        <v/>
      </c>
      <c r="T228" s="42" t="str">
        <f>IF(AND('Mapa final'!$AB$74="Muy Baja",'Mapa final'!$AD$74="Mayor"),CONCATENATE("R23C",'Mapa final'!$R$74),"")</f>
        <v/>
      </c>
      <c r="U228" s="106" t="str">
        <f>IF(AND('Mapa final'!$AB$75="Muy Baja",'Mapa final'!$AD$75="Mayor"),CONCATENATE("R23C",'Mapa final'!$R$75),"")</f>
        <v/>
      </c>
      <c r="V228" s="43" t="str">
        <f>IF(AND('Mapa final'!$AB$73="Muy Baja",'Mapa final'!$AD$73="Catastrófico"),CONCATENATE("R23C",'Mapa final'!$R$73),"")</f>
        <v/>
      </c>
      <c r="W228" s="44" t="str">
        <f>IF(AND('Mapa final'!$AB$74="Muy Baja",'Mapa final'!$AD$74="Catastrófico"),CONCATENATE("R23C",'Mapa final'!$R$74),"")</f>
        <v/>
      </c>
      <c r="X228" s="100" t="str">
        <f>IF(AND('Mapa final'!$AB$75="Muy Baja",'Mapa final'!$AD$75="Catastrófico"),CONCATENATE("R23C",'Mapa final'!$R$75),"")</f>
        <v/>
      </c>
      <c r="Y228" s="56"/>
      <c r="Z228" s="56"/>
      <c r="AA228" s="56"/>
      <c r="AB228" s="56"/>
      <c r="AC228" s="56"/>
      <c r="AD228" s="56"/>
      <c r="AE228" s="56"/>
      <c r="AF228" s="56"/>
      <c r="AG228" s="56"/>
      <c r="AH228" s="56"/>
      <c r="AI228" s="56"/>
      <c r="AJ228" s="56"/>
      <c r="AK228" s="56"/>
      <c r="AL228" s="56"/>
      <c r="AM228" s="56"/>
      <c r="AN228" s="56"/>
      <c r="AO228" s="56"/>
      <c r="AP228" s="56"/>
      <c r="AQ228" s="56"/>
      <c r="AR228" s="56"/>
      <c r="AS228" s="56"/>
      <c r="AT228" s="56"/>
      <c r="AU228" s="56"/>
      <c r="AV228" s="56"/>
      <c r="AW228" s="56"/>
      <c r="AX228" s="56"/>
      <c r="AY228" s="56"/>
      <c r="AZ228" s="56"/>
      <c r="BA228" s="56"/>
      <c r="BB228" s="56"/>
      <c r="BC228" s="56"/>
      <c r="BD228" s="56"/>
      <c r="BE228" s="56"/>
      <c r="BF228" s="56"/>
      <c r="BG228" s="56"/>
      <c r="BH228" s="56"/>
      <c r="BI228" s="56"/>
      <c r="BJ228" s="56"/>
      <c r="BK228" s="56"/>
      <c r="BL228" s="56"/>
      <c r="BM228" s="56"/>
    </row>
    <row r="229" spans="1:65" ht="15.5" x14ac:dyDescent="0.35">
      <c r="A229" s="56"/>
      <c r="B229" s="300"/>
      <c r="C229" s="300"/>
      <c r="D229" s="301"/>
      <c r="E229" s="287"/>
      <c r="F229" s="288"/>
      <c r="G229" s="288"/>
      <c r="H229" s="288"/>
      <c r="I229" s="288"/>
      <c r="J229" s="115" t="str">
        <f>IF(AND('Mapa final'!$AB$76="Muy Baja",'Mapa final'!$AD$76="Leve"),CONCATENATE("R24C",'Mapa final'!$R$76),"")</f>
        <v/>
      </c>
      <c r="K229" s="54" t="str">
        <f>IF(AND('Mapa final'!$AB$77="Muy Baja",'Mapa final'!$AD$77="Leve"),CONCATENATE("R24C",'Mapa final'!$R$77),"")</f>
        <v/>
      </c>
      <c r="L229" s="116" t="str">
        <f>IF(AND('Mapa final'!$AB$78="Muy Baja",'Mapa final'!$AD$78="Leve"),CONCATENATE("R24C",'Mapa final'!$R$78),"")</f>
        <v/>
      </c>
      <c r="M229" s="115" t="str">
        <f>IF(AND('Mapa final'!$AB$76="Muy Baja",'Mapa final'!$AD$76="Menor"),CONCATENATE("R24C",'Mapa final'!$R$76),"")</f>
        <v/>
      </c>
      <c r="N229" s="54" t="str">
        <f>IF(AND('Mapa final'!$AB$77="Muy Baja",'Mapa final'!$AD$77="Menor"),CONCATENATE("R24C",'Mapa final'!$R$77),"")</f>
        <v/>
      </c>
      <c r="O229" s="116" t="str">
        <f>IF(AND('Mapa final'!$AB$78="Muy Baja",'Mapa final'!$AD$78="Menor"),CONCATENATE("R24C",'Mapa final'!$R$78),"")</f>
        <v/>
      </c>
      <c r="P229" s="49" t="str">
        <f>IF(AND('Mapa final'!$AB$76="Muy Baja",'Mapa final'!$AD$76="Moderado"),CONCATENATE("R24C",'Mapa final'!$R$76),"")</f>
        <v/>
      </c>
      <c r="Q229" s="50" t="str">
        <f>IF(AND('Mapa final'!$AB$77="Muy Baja",'Mapa final'!$AD$77="Moderado"),CONCATENATE("R24C",'Mapa final'!$R$77),"")</f>
        <v/>
      </c>
      <c r="R229" s="111" t="str">
        <f>IF(AND('Mapa final'!$AB$78="Muy Baja",'Mapa final'!$AD$78="Moderado"),CONCATENATE("R24C",'Mapa final'!$R$78),"")</f>
        <v/>
      </c>
      <c r="S229" s="105" t="str">
        <f>IF(AND('Mapa final'!$AB$76="Muy Baja",'Mapa final'!$AD$76="Mayor"),CONCATENATE("R24C",'Mapa final'!$R$76),"")</f>
        <v/>
      </c>
      <c r="T229" s="42" t="str">
        <f>IF(AND('Mapa final'!$AB$77="Muy Baja",'Mapa final'!$AD$77="Mayor"),CONCATENATE("R24C",'Mapa final'!$R$77),"")</f>
        <v/>
      </c>
      <c r="U229" s="106" t="str">
        <f>IF(AND('Mapa final'!$AB$78="Muy Baja",'Mapa final'!$AD$78="Mayor"),CONCATENATE("R24C",'Mapa final'!$R$78),"")</f>
        <v/>
      </c>
      <c r="V229" s="43" t="str">
        <f>IF(AND('Mapa final'!$AB$76="Muy Baja",'Mapa final'!$AD$76="Catastrófico"),CONCATENATE("R24C",'Mapa final'!$R$76),"")</f>
        <v/>
      </c>
      <c r="W229" s="44" t="str">
        <f>IF(AND('Mapa final'!$AB$77="Muy Baja",'Mapa final'!$AD$77="Catastrófico"),CONCATENATE("R24C",'Mapa final'!$R$77),"")</f>
        <v/>
      </c>
      <c r="X229" s="100" t="str">
        <f>IF(AND('Mapa final'!$AB$78="Muy Baja",'Mapa final'!$AD$78="Catastrófico"),CONCATENATE("R24C",'Mapa final'!$R$78),"")</f>
        <v/>
      </c>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c r="BB229" s="56"/>
      <c r="BC229" s="56"/>
      <c r="BD229" s="56"/>
      <c r="BE229" s="56"/>
      <c r="BF229" s="56"/>
      <c r="BG229" s="56"/>
      <c r="BH229" s="56"/>
      <c r="BI229" s="56"/>
      <c r="BJ229" s="56"/>
      <c r="BK229" s="56"/>
      <c r="BL229" s="56"/>
      <c r="BM229" s="56"/>
    </row>
    <row r="230" spans="1:65" ht="15.5" x14ac:dyDescent="0.35">
      <c r="A230" s="56"/>
      <c r="B230" s="300"/>
      <c r="C230" s="300"/>
      <c r="D230" s="301"/>
      <c r="E230" s="287"/>
      <c r="F230" s="288"/>
      <c r="G230" s="288"/>
      <c r="H230" s="288"/>
      <c r="I230" s="288"/>
      <c r="J230" s="115" t="str">
        <f>IF(AND('Mapa final'!$AB$79="Muy Baja",'Mapa final'!$AD$79="Leve"),CONCATENATE("R25C",'Mapa final'!$R$79),"")</f>
        <v/>
      </c>
      <c r="K230" s="54" t="str">
        <f>IF(AND('Mapa final'!$AB$80="Muy Baja",'Mapa final'!$AD$80="Leve"),CONCATENATE("R25C",'Mapa final'!$R$80),"")</f>
        <v/>
      </c>
      <c r="L230" s="116" t="str">
        <f>IF(AND('Mapa final'!$AB$81="Muy Baja",'Mapa final'!$AD$81="Leve"),CONCATENATE("R25C",'Mapa final'!$R$81),"")</f>
        <v/>
      </c>
      <c r="M230" s="115" t="str">
        <f>IF(AND('Mapa final'!$AB$79="Muy Baja",'Mapa final'!$AD$79="Menor"),CONCATENATE("R25C",'Mapa final'!$R$79),"")</f>
        <v/>
      </c>
      <c r="N230" s="54" t="str">
        <f>IF(AND('Mapa final'!$AB$80="Muy Baja",'Mapa final'!$AD$80="Menor"),CONCATENATE("R25C",'Mapa final'!$R$80),"")</f>
        <v/>
      </c>
      <c r="O230" s="116" t="str">
        <f>IF(AND('Mapa final'!$AB$81="Muy Baja",'Mapa final'!$AD$81="Menor"),CONCATENATE("R25C",'Mapa final'!$R$81),"")</f>
        <v/>
      </c>
      <c r="P230" s="49" t="str">
        <f>IF(AND('Mapa final'!$AB$79="Muy Baja",'Mapa final'!$AD$79="Moderado"),CONCATENATE("R25C",'Mapa final'!$R$79),"")</f>
        <v/>
      </c>
      <c r="Q230" s="50" t="str">
        <f>IF(AND('Mapa final'!$AB$80="Muy Baja",'Mapa final'!$AD$80="Moderado"),CONCATENATE("R25C",'Mapa final'!$R$80),"")</f>
        <v>R25C2</v>
      </c>
      <c r="R230" s="111" t="str">
        <f>IF(AND('Mapa final'!$AB$81="Muy Baja",'Mapa final'!$AD$81="Moderado"),CONCATENATE("R25C",'Mapa final'!$R$81),"")</f>
        <v>R25C3</v>
      </c>
      <c r="S230" s="105" t="str">
        <f>IF(AND('Mapa final'!$AB$79="Muy Baja",'Mapa final'!$AD$79="Mayor"),CONCATENATE("R25C",'Mapa final'!$R$79),"")</f>
        <v/>
      </c>
      <c r="T230" s="42" t="str">
        <f>IF(AND('Mapa final'!$AB$80="Muy Baja",'Mapa final'!$AD$80="Mayor"),CONCATENATE("R25C",'Mapa final'!$R$80),"")</f>
        <v/>
      </c>
      <c r="U230" s="106" t="str">
        <f>IF(AND('Mapa final'!$AB$81="Muy Baja",'Mapa final'!$AD$81="Mayor"),CONCATENATE("R25C",'Mapa final'!$R$81),"")</f>
        <v/>
      </c>
      <c r="V230" s="43" t="str">
        <f>IF(AND('Mapa final'!$AB$79="Muy Baja",'Mapa final'!$AD$79="Catastrófico"),CONCATENATE("R25C",'Mapa final'!$R$79),"")</f>
        <v/>
      </c>
      <c r="W230" s="44" t="str">
        <f>IF(AND('Mapa final'!$AB$80="Muy Baja",'Mapa final'!$AD$80="Catastrófico"),CONCATENATE("R25C",'Mapa final'!$R$80),"")</f>
        <v/>
      </c>
      <c r="X230" s="100" t="str">
        <f>IF(AND('Mapa final'!$AB$81="Muy Baja",'Mapa final'!$AD$81="Catastrófico"),CONCATENATE("R25C",'Mapa final'!$R$81),"")</f>
        <v/>
      </c>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c r="BB230" s="56"/>
      <c r="BC230" s="56"/>
      <c r="BD230" s="56"/>
      <c r="BE230" s="56"/>
      <c r="BF230" s="56"/>
      <c r="BG230" s="56"/>
      <c r="BH230" s="56"/>
      <c r="BI230" s="56"/>
      <c r="BJ230" s="56"/>
      <c r="BK230" s="56"/>
      <c r="BL230" s="56"/>
      <c r="BM230" s="56"/>
    </row>
    <row r="231" spans="1:65" ht="15.5" x14ac:dyDescent="0.35">
      <c r="A231" s="56"/>
      <c r="B231" s="300"/>
      <c r="C231" s="300"/>
      <c r="D231" s="301"/>
      <c r="E231" s="287"/>
      <c r="F231" s="288"/>
      <c r="G231" s="288"/>
      <c r="H231" s="288"/>
      <c r="I231" s="288"/>
      <c r="J231" s="115" t="str">
        <f>IF(AND('Mapa final'!$AB$82="Muy Baja",'Mapa final'!$AD$82="Leve"),CONCATENATE("R26C",'Mapa final'!$R$82),"")</f>
        <v/>
      </c>
      <c r="K231" s="54" t="str">
        <f>IF(AND('Mapa final'!$AB$83="Muy Baja",'Mapa final'!$AD$83="Leve"),CONCATENATE("R26C",'Mapa final'!$R$83),"")</f>
        <v/>
      </c>
      <c r="L231" s="116" t="str">
        <f>IF(AND('Mapa final'!$AB$84="Muy Baja",'Mapa final'!$AD$84="Leve"),CONCATENATE("R26C",'Mapa final'!$R$84),"")</f>
        <v/>
      </c>
      <c r="M231" s="115" t="str">
        <f>IF(AND('Mapa final'!$AB$82="Muy Baja",'Mapa final'!$AD$82="Menor"),CONCATENATE("R26C",'Mapa final'!$R$82),"")</f>
        <v/>
      </c>
      <c r="N231" s="54" t="str">
        <f>IF(AND('Mapa final'!$AB$83="Muy Baja",'Mapa final'!$AD$83="Menor"),CONCATENATE("R26C",'Mapa final'!$R$83),"")</f>
        <v/>
      </c>
      <c r="O231" s="116" t="str">
        <f>IF(AND('Mapa final'!$AB$84="Muy Baja",'Mapa final'!$AD$84="Menor"),CONCATENATE("R26C",'Mapa final'!$R$84),"")</f>
        <v/>
      </c>
      <c r="P231" s="49" t="str">
        <f>IF(AND('Mapa final'!$AB$82="Muy Baja",'Mapa final'!$AD$82="Moderado"),CONCATENATE("R26C",'Mapa final'!$R$82),"")</f>
        <v>R26C1</v>
      </c>
      <c r="Q231" s="50" t="str">
        <f>IF(AND('Mapa final'!$AB$83="Muy Baja",'Mapa final'!$AD$83="Moderado"),CONCATENATE("R26C",'Mapa final'!$R$83),"")</f>
        <v>R26C2</v>
      </c>
      <c r="R231" s="111" t="str">
        <f>IF(AND('Mapa final'!$AB$84="Muy Baja",'Mapa final'!$AD$84="Moderado"),CONCATENATE("R26C",'Mapa final'!$R$84),"")</f>
        <v>R26C3</v>
      </c>
      <c r="S231" s="105" t="str">
        <f>IF(AND('Mapa final'!$AB$82="Muy Baja",'Mapa final'!$AD$82="Mayor"),CONCATENATE("R26C",'Mapa final'!$R$82),"")</f>
        <v/>
      </c>
      <c r="T231" s="42" t="str">
        <f>IF(AND('Mapa final'!$AB$83="Muy Baja",'Mapa final'!$AD$83="Mayor"),CONCATENATE("R26C",'Mapa final'!$R$83),"")</f>
        <v/>
      </c>
      <c r="U231" s="106" t="str">
        <f>IF(AND('Mapa final'!$AB$84="Muy Baja",'Mapa final'!$AD$84="Mayor"),CONCATENATE("R26C",'Mapa final'!$R$84),"")</f>
        <v/>
      </c>
      <c r="V231" s="43" t="str">
        <f>IF(AND('Mapa final'!$AB$82="Muy Baja",'Mapa final'!$AD$82="Catastrófico"),CONCATENATE("R26C",'Mapa final'!$R$82),"")</f>
        <v/>
      </c>
      <c r="W231" s="44" t="str">
        <f>IF(AND('Mapa final'!$AB$83="Muy Baja",'Mapa final'!$AD$83="Catastrófico"),CONCATENATE("R26C",'Mapa final'!$R$83),"")</f>
        <v/>
      </c>
      <c r="X231" s="100" t="str">
        <f>IF(AND('Mapa final'!$AB$84="Muy Baja",'Mapa final'!$AD$84="Catastrófico"),CONCATENATE("R26C",'Mapa final'!$R$84),"")</f>
        <v/>
      </c>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c r="BA231" s="56"/>
      <c r="BB231" s="56"/>
      <c r="BC231" s="56"/>
      <c r="BD231" s="56"/>
      <c r="BE231" s="56"/>
      <c r="BF231" s="56"/>
      <c r="BG231" s="56"/>
      <c r="BH231" s="56"/>
      <c r="BI231" s="56"/>
      <c r="BJ231" s="56"/>
      <c r="BK231" s="56"/>
      <c r="BL231" s="56"/>
      <c r="BM231" s="56"/>
    </row>
    <row r="232" spans="1:65" ht="15.5" x14ac:dyDescent="0.35">
      <c r="A232" s="56"/>
      <c r="B232" s="300"/>
      <c r="C232" s="300"/>
      <c r="D232" s="301"/>
      <c r="E232" s="287"/>
      <c r="F232" s="288"/>
      <c r="G232" s="288"/>
      <c r="H232" s="288"/>
      <c r="I232" s="288"/>
      <c r="J232" s="115" t="str">
        <f>IF(AND('Mapa final'!$AB$85="Muy Baja",'Mapa final'!$AD$85="Leve"),CONCATENATE("R27C",'Mapa final'!$R$85),"")</f>
        <v/>
      </c>
      <c r="K232" s="54" t="str">
        <f>IF(AND('Mapa final'!$AB$86="Muy Baja",'Mapa final'!$AD$86="Leve"),CONCATENATE("R27C",'Mapa final'!$R$86),"")</f>
        <v/>
      </c>
      <c r="L232" s="116" t="str">
        <f>IF(AND('Mapa final'!$AB$87="Muy Baja",'Mapa final'!$AD$87="Leve"),CONCATENATE("R27C",'Mapa final'!$R$87),"")</f>
        <v/>
      </c>
      <c r="M232" s="115" t="str">
        <f>IF(AND('Mapa final'!$AB$85="Muy Baja",'Mapa final'!$AD$85="Menor"),CONCATENATE("R27C",'Mapa final'!$R$85),"")</f>
        <v/>
      </c>
      <c r="N232" s="54" t="str">
        <f>IF(AND('Mapa final'!$AB$86="Muy Baja",'Mapa final'!$AD$86="Menor"),CONCATENATE("R27C",'Mapa final'!$R$86),"")</f>
        <v/>
      </c>
      <c r="O232" s="116" t="str">
        <f>IF(AND('Mapa final'!$AB$87="Muy Baja",'Mapa final'!$AD$87="Menor"),CONCATENATE("R27C",'Mapa final'!$R$87),"")</f>
        <v/>
      </c>
      <c r="P232" s="49" t="str">
        <f>IF(AND('Mapa final'!$AB$85="Muy Baja",'Mapa final'!$AD$85="Moderado"),CONCATENATE("R27C",'Mapa final'!$R$85),"")</f>
        <v/>
      </c>
      <c r="Q232" s="50" t="str">
        <f>IF(AND('Mapa final'!$AB$86="Muy Baja",'Mapa final'!$AD$86="Moderado"),CONCATENATE("R27C",'Mapa final'!$R$86),"")</f>
        <v/>
      </c>
      <c r="R232" s="111" t="str">
        <f>IF(AND('Mapa final'!$AB$87="Muy Baja",'Mapa final'!$AD$87="Moderado"),CONCATENATE("R27C",'Mapa final'!$R$87),"")</f>
        <v/>
      </c>
      <c r="S232" s="105" t="str">
        <f>IF(AND('Mapa final'!$AB$85="Muy Baja",'Mapa final'!$AD$85="Mayor"),CONCATENATE("R27C",'Mapa final'!$R$85),"")</f>
        <v/>
      </c>
      <c r="T232" s="42" t="str">
        <f>IF(AND('Mapa final'!$AB$86="Muy Baja",'Mapa final'!$AD$86="Mayor"),CONCATENATE("R27C",'Mapa final'!$R$86),"")</f>
        <v/>
      </c>
      <c r="U232" s="106" t="str">
        <f>IF(AND('Mapa final'!$AB$87="Muy Baja",'Mapa final'!$AD$87="Mayor"),CONCATENATE("R27C",'Mapa final'!$R$87),"")</f>
        <v/>
      </c>
      <c r="V232" s="43" t="str">
        <f>IF(AND('Mapa final'!$AB$85="Muy Baja",'Mapa final'!$AD$85="Catastrófico"),CONCATENATE("R27C",'Mapa final'!$R$85),"")</f>
        <v/>
      </c>
      <c r="W232" s="44" t="str">
        <f>IF(AND('Mapa final'!$AB$86="Muy Baja",'Mapa final'!$AD$86="Catastrófico"),CONCATENATE("R27C",'Mapa final'!$R$86),"")</f>
        <v/>
      </c>
      <c r="X232" s="100" t="str">
        <f>IF(AND('Mapa final'!$AB$87="Muy Baja",'Mapa final'!$AD$87="Catastrófico"),CONCATENATE("R27C",'Mapa final'!$R$87),"")</f>
        <v/>
      </c>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c r="BB232" s="56"/>
      <c r="BC232" s="56"/>
      <c r="BD232" s="56"/>
      <c r="BE232" s="56"/>
      <c r="BF232" s="56"/>
      <c r="BG232" s="56"/>
      <c r="BH232" s="56"/>
      <c r="BI232" s="56"/>
      <c r="BJ232" s="56"/>
      <c r="BK232" s="56"/>
      <c r="BL232" s="56"/>
      <c r="BM232" s="56"/>
    </row>
    <row r="233" spans="1:65" ht="15.5" x14ac:dyDescent="0.35">
      <c r="A233" s="56"/>
      <c r="B233" s="300"/>
      <c r="C233" s="300"/>
      <c r="D233" s="301"/>
      <c r="E233" s="287"/>
      <c r="F233" s="288"/>
      <c r="G233" s="288"/>
      <c r="H233" s="288"/>
      <c r="I233" s="288"/>
      <c r="J233" s="115" t="str">
        <f>IF(AND('Mapa final'!$AB$88="Muy Baja",'Mapa final'!$AD$88="Leve"),CONCATENATE("R28C",'Mapa final'!$R$88),"")</f>
        <v/>
      </c>
      <c r="K233" s="54" t="str">
        <f>IF(AND('Mapa final'!$AB$89="Muy Baja",'Mapa final'!$AD$89="Leve"),CONCATENATE("R28C",'Mapa final'!$R$89),"")</f>
        <v/>
      </c>
      <c r="L233" s="116" t="str">
        <f>IF(AND('Mapa final'!$AB$90="Muy Baja",'Mapa final'!$AD$90="Leve"),CONCATENATE("R28C",'Mapa final'!$R$90),"")</f>
        <v/>
      </c>
      <c r="M233" s="115" t="str">
        <f>IF(AND('Mapa final'!$AB$88="Muy Baja",'Mapa final'!$AD$88="Menor"),CONCATENATE("R28C",'Mapa final'!$R$88),"")</f>
        <v/>
      </c>
      <c r="N233" s="54" t="str">
        <f>IF(AND('Mapa final'!$AB$89="Muy Baja",'Mapa final'!$AD$89="Menor"),CONCATENATE("R28C",'Mapa final'!$R$89),"")</f>
        <v/>
      </c>
      <c r="O233" s="116" t="str">
        <f>IF(AND('Mapa final'!$AB$90="Muy Baja",'Mapa final'!$AD$90="Menor"),CONCATENATE("R28C",'Mapa final'!$R$90),"")</f>
        <v/>
      </c>
      <c r="P233" s="49" t="str">
        <f>IF(AND('Mapa final'!$AB$88="Muy Baja",'Mapa final'!$AD$88="Moderado"),CONCATENATE("R28C",'Mapa final'!$R$88),"")</f>
        <v/>
      </c>
      <c r="Q233" s="50" t="str">
        <f>IF(AND('Mapa final'!$AB$89="Muy Baja",'Mapa final'!$AD$89="Moderado"),CONCATENATE("R28C",'Mapa final'!$R$89),"")</f>
        <v/>
      </c>
      <c r="R233" s="111" t="str">
        <f>IF(AND('Mapa final'!$AB$90="Muy Baja",'Mapa final'!$AD$90="Moderado"),CONCATENATE("R28C",'Mapa final'!$R$90),"")</f>
        <v/>
      </c>
      <c r="S233" s="105" t="str">
        <f>IF(AND('Mapa final'!$AB$88="Muy Baja",'Mapa final'!$AD$88="Mayor"),CONCATENATE("R28C",'Mapa final'!$R$88),"")</f>
        <v/>
      </c>
      <c r="T233" s="42" t="str">
        <f>IF(AND('Mapa final'!$AB$89="Muy Baja",'Mapa final'!$AD$89="Mayor"),CONCATENATE("R28C",'Mapa final'!$R$89),"")</f>
        <v/>
      </c>
      <c r="U233" s="106" t="str">
        <f>IF(AND('Mapa final'!$AB$90="Muy Baja",'Mapa final'!$AD$90="Mayor"),CONCATENATE("R28C",'Mapa final'!$R$90),"")</f>
        <v/>
      </c>
      <c r="V233" s="43" t="str">
        <f>IF(AND('Mapa final'!$AB$88="Muy Baja",'Mapa final'!$AD$88="Catastrófico"),CONCATENATE("R28C",'Mapa final'!$R$88),"")</f>
        <v/>
      </c>
      <c r="W233" s="44" t="str">
        <f>IF(AND('Mapa final'!$AB$89="Muy Baja",'Mapa final'!$AD$89="Catastrófico"),CONCATENATE("R28C",'Mapa final'!$R$89),"")</f>
        <v/>
      </c>
      <c r="X233" s="100" t="str">
        <f>IF(AND('Mapa final'!$AB$90="Muy Baja",'Mapa final'!$AD$90="Catastrófico"),CONCATENATE("R28C",'Mapa final'!$R$90),"")</f>
        <v/>
      </c>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c r="BB233" s="56"/>
      <c r="BC233" s="56"/>
      <c r="BD233" s="56"/>
      <c r="BE233" s="56"/>
      <c r="BF233" s="56"/>
      <c r="BG233" s="56"/>
      <c r="BH233" s="56"/>
      <c r="BI233" s="56"/>
      <c r="BJ233" s="56"/>
      <c r="BK233" s="56"/>
      <c r="BL233" s="56"/>
      <c r="BM233" s="56"/>
    </row>
    <row r="234" spans="1:65" ht="15" customHeight="1" x14ac:dyDescent="0.35">
      <c r="A234" s="56"/>
      <c r="B234" s="300"/>
      <c r="C234" s="300"/>
      <c r="D234" s="301"/>
      <c r="E234" s="287"/>
      <c r="F234" s="288"/>
      <c r="G234" s="288"/>
      <c r="H234" s="288"/>
      <c r="I234" s="288"/>
      <c r="J234" s="115" t="str">
        <f>IF(AND('Mapa final'!$AB$91="Muy Baja",'Mapa final'!$AD$91="Leve"),CONCATENATE("R29C",'Mapa final'!$R$91),"")</f>
        <v/>
      </c>
      <c r="K234" s="54" t="str">
        <f>IF(AND('Mapa final'!$AB$92="Muy Baja",'Mapa final'!$AD$92="Leve"),CONCATENATE("R29C",'Mapa final'!$R$92),"")</f>
        <v/>
      </c>
      <c r="L234" s="116" t="str">
        <f>IF(AND('Mapa final'!$AB$93="Muy Baja",'Mapa final'!$AD$93="Leve"),CONCATENATE("R29C",'Mapa final'!$R$93),"")</f>
        <v/>
      </c>
      <c r="M234" s="115" t="str">
        <f>IF(AND('Mapa final'!$AB$91="Muy Baja",'Mapa final'!$AD$91="Menor"),CONCATENATE("R29C",'Mapa final'!$R$91),"")</f>
        <v/>
      </c>
      <c r="N234" s="54" t="str">
        <f>IF(AND('Mapa final'!$AB$92="Muy Baja",'Mapa final'!$AD$92="Menor"),CONCATENATE("R29C",'Mapa final'!$R$92),"")</f>
        <v/>
      </c>
      <c r="O234" s="116" t="str">
        <f>IF(AND('Mapa final'!$AB$93="Muy Baja",'Mapa final'!$AD$93="Menor"),CONCATENATE("R29C",'Mapa final'!$R$93),"")</f>
        <v/>
      </c>
      <c r="P234" s="49" t="str">
        <f>IF(AND('Mapa final'!$AB$91="Muy Baja",'Mapa final'!$AD$91="Moderado"),CONCATENATE("R29C",'Mapa final'!$R$91),"")</f>
        <v/>
      </c>
      <c r="Q234" s="50" t="str">
        <f>IF(AND('Mapa final'!$AB$92="Muy Baja",'Mapa final'!$AD$92="Moderado"),CONCATENATE("R29C",'Mapa final'!$R$92),"")</f>
        <v/>
      </c>
      <c r="R234" s="111" t="str">
        <f>IF(AND('Mapa final'!$AB$93="Muy Baja",'Mapa final'!$AD$93="Moderado"),CONCATENATE("R29C",'Mapa final'!$R$93),"")</f>
        <v/>
      </c>
      <c r="S234" s="105" t="str">
        <f>IF(AND('Mapa final'!$AB$91="Muy Baja",'Mapa final'!$AD$91="Mayor"),CONCATENATE("R29C",'Mapa final'!$R$91),"")</f>
        <v/>
      </c>
      <c r="T234" s="42" t="str">
        <f>IF(AND('Mapa final'!$AB$92="Muy Baja",'Mapa final'!$AD$92="Mayor"),CONCATENATE("R29C",'Mapa final'!$R$92),"")</f>
        <v/>
      </c>
      <c r="U234" s="106" t="str">
        <f>IF(AND('Mapa final'!$AB$93="Muy Baja",'Mapa final'!$AD$93="Mayor"),CONCATENATE("R29C",'Mapa final'!$R$93),"")</f>
        <v/>
      </c>
      <c r="V234" s="43" t="str">
        <f>IF(AND('Mapa final'!$AB$91="Muy Baja",'Mapa final'!$AD$91="Catastrófico"),CONCATENATE("R29C",'Mapa final'!$R$91),"")</f>
        <v/>
      </c>
      <c r="W234" s="44" t="str">
        <f>IF(AND('Mapa final'!$AB$92="Muy Baja",'Mapa final'!$AD$92="Catastrófico"),CONCATENATE("R29C",'Mapa final'!$R$92),"")</f>
        <v/>
      </c>
      <c r="X234" s="100" t="str">
        <f>IF(AND('Mapa final'!$AB$93="Muy Baja",'Mapa final'!$AD$93="Catastrófico"),CONCATENATE("R29C",'Mapa final'!$R$93),"")</f>
        <v/>
      </c>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c r="BB234" s="56"/>
      <c r="BC234" s="56"/>
      <c r="BD234" s="56"/>
      <c r="BE234" s="56"/>
      <c r="BF234" s="56"/>
      <c r="BG234" s="56"/>
      <c r="BH234" s="56"/>
      <c r="BI234" s="56"/>
      <c r="BJ234" s="56"/>
      <c r="BK234" s="56"/>
      <c r="BL234" s="56"/>
      <c r="BM234" s="56"/>
    </row>
    <row r="235" spans="1:65" ht="15" customHeight="1" x14ac:dyDescent="0.35">
      <c r="A235" s="56"/>
      <c r="B235" s="300"/>
      <c r="C235" s="300"/>
      <c r="D235" s="301"/>
      <c r="E235" s="289"/>
      <c r="F235" s="290"/>
      <c r="G235" s="290"/>
      <c r="H235" s="290"/>
      <c r="I235" s="288"/>
      <c r="J235" s="115" t="str">
        <f>IF(AND('Mapa final'!$AB$94="Muy Baja",'Mapa final'!$AD$94="Leve"),CONCATENATE("R30C",'Mapa final'!$R$94),"")</f>
        <v/>
      </c>
      <c r="K235" s="54" t="str">
        <f>IF(AND('Mapa final'!$AB$95="Muy Baja",'Mapa final'!$AD$95="Leve"),CONCATENATE("R30C",'Mapa final'!$R$95),"")</f>
        <v/>
      </c>
      <c r="L235" s="116" t="str">
        <f>IF(AND('Mapa final'!$AB$96="Muy Baja",'Mapa final'!$AD$96="Leve"),CONCATENATE("R30C",'Mapa final'!$R$96),"")</f>
        <v/>
      </c>
      <c r="M235" s="115" t="str">
        <f>IF(AND('Mapa final'!$AB$94="Muy Baja",'Mapa final'!$AD$94="Menor"),CONCATENATE("R30C",'Mapa final'!$R$94),"")</f>
        <v/>
      </c>
      <c r="N235" s="54" t="str">
        <f>IF(AND('Mapa final'!$AB$95="Muy Baja",'Mapa final'!$AD$95="Menor"),CONCATENATE("R30C",'Mapa final'!$R$95),"")</f>
        <v/>
      </c>
      <c r="O235" s="116" t="str">
        <f>IF(AND('Mapa final'!$AB$96="Muy Baja",'Mapa final'!$AD$96="Menor"),CONCATENATE("R30C",'Mapa final'!$R$96),"")</f>
        <v/>
      </c>
      <c r="P235" s="49" t="str">
        <f>IF(AND('Mapa final'!$AB$94="Muy Baja",'Mapa final'!$AD$94="Moderado"),CONCATENATE("R30C",'Mapa final'!$R$94),"")</f>
        <v/>
      </c>
      <c r="Q235" s="50" t="str">
        <f>IF(AND('Mapa final'!$AB$95="Muy Baja",'Mapa final'!$AD$95="Moderado"),CONCATENATE("R30C",'Mapa final'!$R$95),"")</f>
        <v/>
      </c>
      <c r="R235" s="111" t="str">
        <f>IF(AND('Mapa final'!$AB$96="Muy Baja",'Mapa final'!$AD$96="Moderado"),CONCATENATE("R30C",'Mapa final'!$R$96),"")</f>
        <v/>
      </c>
      <c r="S235" s="105" t="str">
        <f>IF(AND('Mapa final'!$AB$94="Muy Baja",'Mapa final'!$AD$94="Mayor"),CONCATENATE("R30C",'Mapa final'!$R$94),"")</f>
        <v/>
      </c>
      <c r="T235" s="42" t="str">
        <f>IF(AND('Mapa final'!$AB$95="Muy Baja",'Mapa final'!$AD$95="Mayor"),CONCATENATE("R30C",'Mapa final'!$R$95),"")</f>
        <v/>
      </c>
      <c r="U235" s="106" t="str">
        <f>IF(AND('Mapa final'!$AB$96="Muy Baja",'Mapa final'!$AD$96="Mayor"),CONCATENATE("R30C",'Mapa final'!$R$96),"")</f>
        <v/>
      </c>
      <c r="V235" s="43" t="str">
        <f>IF(AND('Mapa final'!$AB$94="Muy Baja",'Mapa final'!$AD$94="Catastrófico"),CONCATENATE("R30C",'Mapa final'!$R$94),"")</f>
        <v/>
      </c>
      <c r="W235" s="44" t="str">
        <f>IF(AND('Mapa final'!$AB$95="Muy Baja",'Mapa final'!$AD$95="Catastrófico"),CONCATENATE("R30C",'Mapa final'!$R$95),"")</f>
        <v/>
      </c>
      <c r="X235" s="100" t="str">
        <f>IF(AND('Mapa final'!$AB$96="Muy Baja",'Mapa final'!$AD$96="Catastrófico"),CONCATENATE("R30C",'Mapa final'!$R$96),"")</f>
        <v/>
      </c>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c r="BB235" s="56"/>
      <c r="BC235" s="56"/>
      <c r="BD235" s="56"/>
      <c r="BE235" s="56"/>
      <c r="BF235" s="56"/>
      <c r="BG235" s="56"/>
      <c r="BH235" s="56"/>
      <c r="BI235" s="56"/>
      <c r="BJ235" s="56"/>
      <c r="BK235" s="56"/>
      <c r="BL235" s="56"/>
      <c r="BM235" s="56"/>
    </row>
    <row r="236" spans="1:65" ht="15" customHeight="1" x14ac:dyDescent="0.35">
      <c r="A236" s="56"/>
      <c r="B236" s="300"/>
      <c r="C236" s="300"/>
      <c r="D236" s="301"/>
      <c r="E236" s="289"/>
      <c r="F236" s="290"/>
      <c r="G236" s="290"/>
      <c r="H236" s="290"/>
      <c r="I236" s="288"/>
      <c r="J236" s="115" t="str">
        <f>IF(AND('Mapa final'!$AB$97="Muy Baja",'Mapa final'!$AD$97="Leve"),CONCATENATE("R31C",'Mapa final'!$R$97),"")</f>
        <v/>
      </c>
      <c r="K236" s="54" t="str">
        <f>IF(AND('Mapa final'!$AB$98="Muy Baja",'Mapa final'!$AD$98="Leve"),CONCATENATE("R31C",'Mapa final'!$R$98),"")</f>
        <v/>
      </c>
      <c r="L236" s="116" t="str">
        <f>IF(AND('Mapa final'!$AB$99="Muy Baja",'Mapa final'!$AD$99="Leve"),CONCATENATE("R31C",'Mapa final'!$R$99),"")</f>
        <v/>
      </c>
      <c r="M236" s="115" t="str">
        <f>IF(AND('Mapa final'!$AB$97="Muy Baja",'Mapa final'!$AD$97="Menor"),CONCATENATE("R31C",'Mapa final'!$R$97),"")</f>
        <v/>
      </c>
      <c r="N236" s="54" t="str">
        <f>IF(AND('Mapa final'!$AB$98="Muy Baja",'Mapa final'!$AD$98="Menor"),CONCATENATE("R31C",'Mapa final'!$R$98),"")</f>
        <v/>
      </c>
      <c r="O236" s="116" t="str">
        <f>IF(AND('Mapa final'!$AB$99="Muy Baja",'Mapa final'!$AD$99="Menor"),CONCATENATE("R31C",'Mapa final'!$R$99),"")</f>
        <v/>
      </c>
      <c r="P236" s="49" t="str">
        <f>IF(AND('Mapa final'!$AB$97="Muy Baja",'Mapa final'!$AD$97="Moderado"),CONCATENATE("R31C",'Mapa final'!$R$97),"")</f>
        <v/>
      </c>
      <c r="Q236" s="50" t="str">
        <f>IF(AND('Mapa final'!$AB$98="Muy Baja",'Mapa final'!$AD$98="Moderado"),CONCATENATE("R31C",'Mapa final'!$R$98),"")</f>
        <v/>
      </c>
      <c r="R236" s="111" t="str">
        <f>IF(AND('Mapa final'!$AB$99="Muy Baja",'Mapa final'!$AD$99="Moderado"),CONCATENATE("R31C",'Mapa final'!$R$99),"")</f>
        <v/>
      </c>
      <c r="S236" s="105" t="str">
        <f>IF(AND('Mapa final'!$AB$97="Muy Baja",'Mapa final'!$AD$97="Mayor"),CONCATENATE("R31C",'Mapa final'!$R$97),"")</f>
        <v/>
      </c>
      <c r="T236" s="42" t="str">
        <f>IF(AND('Mapa final'!$AB$98="Muy Baja",'Mapa final'!$AD$98="Mayor"),CONCATENATE("R31C",'Mapa final'!$R$98),"")</f>
        <v/>
      </c>
      <c r="U236" s="106" t="str">
        <f>IF(AND('Mapa final'!$AB$99="Muy Baja",'Mapa final'!$AD$99="Mayor"),CONCATENATE("R31C",'Mapa final'!$R$99),"")</f>
        <v/>
      </c>
      <c r="V236" s="43" t="str">
        <f>IF(AND('Mapa final'!$AB$97="Muy Baja",'Mapa final'!$AD$97="Catastrófico"),CONCATENATE("R31C",'Mapa final'!$R$97),"")</f>
        <v/>
      </c>
      <c r="W236" s="44" t="str">
        <f>IF(AND('Mapa final'!$AB$98="Muy Baja",'Mapa final'!$AD$98="Catastrófico"),CONCATENATE("R31C",'Mapa final'!$R$98),"")</f>
        <v/>
      </c>
      <c r="X236" s="100" t="str">
        <f>IF(AND('Mapa final'!$AB$99="Muy Baja",'Mapa final'!$AD$99="Catastrófico"),CONCATENATE("R31C",'Mapa final'!$R$99),"")</f>
        <v/>
      </c>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c r="BA236" s="56"/>
      <c r="BB236" s="56"/>
      <c r="BC236" s="56"/>
      <c r="BD236" s="56"/>
      <c r="BE236" s="56"/>
      <c r="BF236" s="56"/>
      <c r="BG236" s="56"/>
      <c r="BH236" s="56"/>
      <c r="BI236" s="56"/>
      <c r="BJ236" s="56"/>
      <c r="BK236" s="56"/>
      <c r="BL236" s="56"/>
      <c r="BM236" s="56"/>
    </row>
    <row r="237" spans="1:65" ht="15" customHeight="1" x14ac:dyDescent="0.35">
      <c r="A237" s="56"/>
      <c r="B237" s="300"/>
      <c r="C237" s="300"/>
      <c r="D237" s="301"/>
      <c r="E237" s="289"/>
      <c r="F237" s="290"/>
      <c r="G237" s="290"/>
      <c r="H237" s="290"/>
      <c r="I237" s="288"/>
      <c r="J237" s="115" t="e">
        <f>IF(AND('Mapa final'!#REF!="Muy Baja",'Mapa final'!#REF!="Leve"),CONCATENATE("R32C",'Mapa final'!#REF!),"")</f>
        <v>#REF!</v>
      </c>
      <c r="K237" s="54" t="e">
        <f>IF(AND('Mapa final'!#REF!="Muy Baja",'Mapa final'!#REF!="Leve"),CONCATENATE("R32C",'Mapa final'!#REF!),"")</f>
        <v>#REF!</v>
      </c>
      <c r="L237" s="116" t="e">
        <f>IF(AND('Mapa final'!#REF!="Muy Baja",'Mapa final'!#REF!="Leve"),CONCATENATE("R32C",'Mapa final'!#REF!),"")</f>
        <v>#REF!</v>
      </c>
      <c r="M237" s="115" t="e">
        <f>IF(AND('Mapa final'!#REF!="Muy Baja",'Mapa final'!#REF!="Menor"),CONCATENATE("R32C",'Mapa final'!#REF!),"")</f>
        <v>#REF!</v>
      </c>
      <c r="N237" s="54" t="e">
        <f>IF(AND('Mapa final'!#REF!="Muy Baja",'Mapa final'!#REF!="Menor"),CONCATENATE("R32C",'Mapa final'!#REF!),"")</f>
        <v>#REF!</v>
      </c>
      <c r="O237" s="116" t="e">
        <f>IF(AND('Mapa final'!#REF!="Muy Baja",'Mapa final'!#REF!="Menor"),CONCATENATE("R32C",'Mapa final'!#REF!),"")</f>
        <v>#REF!</v>
      </c>
      <c r="P237" s="49" t="e">
        <f>IF(AND('Mapa final'!#REF!="Muy Baja",'Mapa final'!#REF!="Moderado"),CONCATENATE("R32C",'Mapa final'!#REF!),"")</f>
        <v>#REF!</v>
      </c>
      <c r="Q237" s="50" t="e">
        <f>IF(AND('Mapa final'!#REF!="Muy Baja",'Mapa final'!#REF!="Moderado"),CONCATENATE("R32C",'Mapa final'!#REF!),"")</f>
        <v>#REF!</v>
      </c>
      <c r="R237" s="111" t="e">
        <f>IF(AND('Mapa final'!#REF!="Muy Baja",'Mapa final'!#REF!="Moderado"),CONCATENATE("R32C",'Mapa final'!#REF!),"")</f>
        <v>#REF!</v>
      </c>
      <c r="S237" s="105" t="e">
        <f>IF(AND('Mapa final'!#REF!="Muy Baja",'Mapa final'!#REF!="Mayor"),CONCATENATE("R32C",'Mapa final'!#REF!),"")</f>
        <v>#REF!</v>
      </c>
      <c r="T237" s="42" t="e">
        <f>IF(AND('Mapa final'!#REF!="Muy Baja",'Mapa final'!#REF!="Mayor"),CONCATENATE("R32C",'Mapa final'!#REF!),"")</f>
        <v>#REF!</v>
      </c>
      <c r="U237" s="106" t="e">
        <f>IF(AND('Mapa final'!#REF!="Muy Baja",'Mapa final'!#REF!="Mayor"),CONCATENATE("R32C",'Mapa final'!#REF!),"")</f>
        <v>#REF!</v>
      </c>
      <c r="V237" s="43" t="e">
        <f>IF(AND('Mapa final'!#REF!="Muy Baja",'Mapa final'!#REF!="Catastrófico"),CONCATENATE("R32C",'Mapa final'!#REF!),"")</f>
        <v>#REF!</v>
      </c>
      <c r="W237" s="44" t="e">
        <f>IF(AND('Mapa final'!#REF!="Muy Baja",'Mapa final'!#REF!="Catastrófico"),CONCATENATE("R32C",'Mapa final'!#REF!),"")</f>
        <v>#REF!</v>
      </c>
      <c r="X237" s="100" t="e">
        <f>IF(AND('Mapa final'!#REF!="Muy Baja",'Mapa final'!#REF!="Catastrófico"),CONCATENATE("R32C",'Mapa final'!#REF!),"")</f>
        <v>#REF!</v>
      </c>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c r="BB237" s="56"/>
      <c r="BC237" s="56"/>
      <c r="BD237" s="56"/>
      <c r="BE237" s="56"/>
      <c r="BF237" s="56"/>
      <c r="BG237" s="56"/>
      <c r="BH237" s="56"/>
      <c r="BI237" s="56"/>
      <c r="BJ237" s="56"/>
      <c r="BK237" s="56"/>
      <c r="BL237" s="56"/>
      <c r="BM237" s="56"/>
    </row>
    <row r="238" spans="1:65" ht="15" customHeight="1" x14ac:dyDescent="0.35">
      <c r="A238" s="56"/>
      <c r="B238" s="300"/>
      <c r="C238" s="300"/>
      <c r="D238" s="301"/>
      <c r="E238" s="289"/>
      <c r="F238" s="290"/>
      <c r="G238" s="290"/>
      <c r="H238" s="290"/>
      <c r="I238" s="288"/>
      <c r="J238" s="115" t="str">
        <f>IF(AND('Mapa final'!$AB$100="Muy Baja",'Mapa final'!$AD$100="Leve"),CONCATENATE("R33C",'Mapa final'!$R$100),"")</f>
        <v/>
      </c>
      <c r="K238" s="54" t="str">
        <f>IF(AND('Mapa final'!$AB$101="Muy Baja",'Mapa final'!$AD$101="Leve"),CONCATENATE("R33C",'Mapa final'!$R$101),"")</f>
        <v/>
      </c>
      <c r="L238" s="116" t="str">
        <f>IF(AND('Mapa final'!$AB$102="Muy Baja",'Mapa final'!$AD$102="Leve"),CONCATENATE("R33C",'Mapa final'!$R$102),"")</f>
        <v/>
      </c>
      <c r="M238" s="115" t="str">
        <f>IF(AND('Mapa final'!$AB$100="Muy Baja",'Mapa final'!$AD$100="Menor"),CONCATENATE("R33C",'Mapa final'!$R$100),"")</f>
        <v/>
      </c>
      <c r="N238" s="54" t="str">
        <f>IF(AND('Mapa final'!$AB$101="Muy Baja",'Mapa final'!$AD$101="Menor"),CONCATENATE("R33C",'Mapa final'!$R$101),"")</f>
        <v/>
      </c>
      <c r="O238" s="116" t="str">
        <f>IF(AND('Mapa final'!$AB$102="Muy Baja",'Mapa final'!$AD$102="Menor"),CONCATENATE("R33C",'Mapa final'!$R$102),"")</f>
        <v/>
      </c>
      <c r="P238" s="49" t="str">
        <f>IF(AND('Mapa final'!$AB$100="Muy Baja",'Mapa final'!$AD$100="Moderado"),CONCATENATE("R33C",'Mapa final'!$R$100),"")</f>
        <v/>
      </c>
      <c r="Q238" s="50" t="str">
        <f>IF(AND('Mapa final'!$AB$101="Muy Baja",'Mapa final'!$AD$101="Moderado"),CONCATENATE("R33C",'Mapa final'!$R$101),"")</f>
        <v/>
      </c>
      <c r="R238" s="111" t="str">
        <f>IF(AND('Mapa final'!$AB$102="Muy Baja",'Mapa final'!$AD$102="Moderado"),CONCATENATE("R33C",'Mapa final'!$R$102),"")</f>
        <v/>
      </c>
      <c r="S238" s="105" t="str">
        <f>IF(AND('Mapa final'!$AB$100="Muy Baja",'Mapa final'!$AD$100="Mayor"),CONCATENATE("R33C",'Mapa final'!$R$100),"")</f>
        <v/>
      </c>
      <c r="T238" s="42" t="str">
        <f>IF(AND('Mapa final'!$AB$101="Muy Baja",'Mapa final'!$AD$101="Mayor"),CONCATENATE("R33C",'Mapa final'!$R$101),"")</f>
        <v/>
      </c>
      <c r="U238" s="106" t="str">
        <f>IF(AND('Mapa final'!$AB$102="Muy Baja",'Mapa final'!$AD$102="Mayor"),CONCATENATE("R33C",'Mapa final'!$R$102),"")</f>
        <v/>
      </c>
      <c r="V238" s="43" t="str">
        <f>IF(AND('Mapa final'!$AB$100="Muy Baja",'Mapa final'!$AD$100="Catastrófico"),CONCATENATE("R33C",'Mapa final'!$R$100),"")</f>
        <v/>
      </c>
      <c r="W238" s="44" t="str">
        <f>IF(AND('Mapa final'!$AB$101="Muy Baja",'Mapa final'!$AD$101="Catastrófico"),CONCATENATE("R33C",'Mapa final'!$R$101),"")</f>
        <v/>
      </c>
      <c r="X238" s="100" t="str">
        <f>IF(AND('Mapa final'!$AB$102="Muy Baja",'Mapa final'!$AD$102="Catastrófico"),CONCATENATE("R33C",'Mapa final'!$R$102),"")</f>
        <v/>
      </c>
      <c r="Y238" s="56"/>
      <c r="Z238" s="56"/>
      <c r="AA238" s="56"/>
      <c r="AB238" s="56"/>
      <c r="AC238" s="56"/>
      <c r="AD238" s="56"/>
      <c r="AE238" s="56"/>
      <c r="AF238" s="56"/>
      <c r="AG238" s="56"/>
      <c r="AH238" s="56"/>
      <c r="AI238" s="56"/>
      <c r="AJ238" s="56"/>
      <c r="AK238" s="56"/>
      <c r="AL238" s="56"/>
      <c r="AM238" s="56"/>
      <c r="AN238" s="56"/>
      <c r="AO238" s="56"/>
      <c r="AP238" s="56"/>
      <c r="AQ238" s="56"/>
      <c r="AR238" s="56"/>
      <c r="AS238" s="56"/>
      <c r="AT238" s="56"/>
      <c r="AU238" s="56"/>
      <c r="AV238" s="56"/>
      <c r="AW238" s="56"/>
      <c r="AX238" s="56"/>
      <c r="AY238" s="56"/>
      <c r="AZ238" s="56"/>
      <c r="BA238" s="56"/>
      <c r="BB238" s="56"/>
      <c r="BC238" s="56"/>
      <c r="BD238" s="56"/>
      <c r="BE238" s="56"/>
      <c r="BF238" s="56"/>
      <c r="BG238" s="56"/>
      <c r="BH238" s="56"/>
      <c r="BI238" s="56"/>
      <c r="BJ238" s="56"/>
      <c r="BK238" s="56"/>
      <c r="BL238" s="56"/>
      <c r="BM238" s="56"/>
    </row>
    <row r="239" spans="1:65" ht="15" customHeight="1" x14ac:dyDescent="0.35">
      <c r="A239" s="56"/>
      <c r="B239" s="300"/>
      <c r="C239" s="300"/>
      <c r="D239" s="301"/>
      <c r="E239" s="289"/>
      <c r="F239" s="290"/>
      <c r="G239" s="290"/>
      <c r="H239" s="290"/>
      <c r="I239" s="288"/>
      <c r="J239" s="115" t="str">
        <f>IF(AND('Mapa final'!$AB$103="Muy Baja",'Mapa final'!$AD$103="Leve"),CONCATENATE("R34C",'Mapa final'!$R$103),"")</f>
        <v/>
      </c>
      <c r="K239" s="54" t="str">
        <f>IF(AND('Mapa final'!$AB$104="Muy Baja",'Mapa final'!$AD$104="Leve"),CONCATENATE("R34C",'Mapa final'!$R$104),"")</f>
        <v/>
      </c>
      <c r="L239" s="116" t="str">
        <f>IF(AND('Mapa final'!$AB$105="Muy Baja",'Mapa final'!$AD$105="Leve"),CONCATENATE("R34C",'Mapa final'!$R$105),"")</f>
        <v/>
      </c>
      <c r="M239" s="115" t="str">
        <f>IF(AND('Mapa final'!$AB$103="Muy Baja",'Mapa final'!$AD$103="Menor"),CONCATENATE("R34C",'Mapa final'!$R$103),"")</f>
        <v/>
      </c>
      <c r="N239" s="54" t="str">
        <f>IF(AND('Mapa final'!$AB$104="Muy Baja",'Mapa final'!$AD$104="Menor"),CONCATENATE("R34C",'Mapa final'!$R$104),"")</f>
        <v/>
      </c>
      <c r="O239" s="116" t="str">
        <f>IF(AND('Mapa final'!$AB$105="Muy Baja",'Mapa final'!$AD$105="Menor"),CONCATENATE("R34C",'Mapa final'!$R$105),"")</f>
        <v/>
      </c>
      <c r="P239" s="49" t="str">
        <f>IF(AND('Mapa final'!$AB$103="Muy Baja",'Mapa final'!$AD$103="Moderado"),CONCATENATE("R34C",'Mapa final'!$R$103),"")</f>
        <v/>
      </c>
      <c r="Q239" s="50" t="str">
        <f>IF(AND('Mapa final'!$AB$104="Muy Baja",'Mapa final'!$AD$104="Moderado"),CONCATENATE("R34C",'Mapa final'!$R$104),"")</f>
        <v/>
      </c>
      <c r="R239" s="111" t="str">
        <f>IF(AND('Mapa final'!$AB$105="Muy Baja",'Mapa final'!$AD$105="Moderado"),CONCATENATE("R34C",'Mapa final'!$R$105),"")</f>
        <v/>
      </c>
      <c r="S239" s="105" t="str">
        <f>IF(AND('Mapa final'!$AB$103="Muy Baja",'Mapa final'!$AD$103="Mayor"),CONCATENATE("R34C",'Mapa final'!$R$103),"")</f>
        <v/>
      </c>
      <c r="T239" s="42" t="str">
        <f>IF(AND('Mapa final'!$AB$104="Muy Baja",'Mapa final'!$AD$104="Mayor"),CONCATENATE("R34C",'Mapa final'!$R$104),"")</f>
        <v/>
      </c>
      <c r="U239" s="106" t="str">
        <f>IF(AND('Mapa final'!$AB$105="Muy Baja",'Mapa final'!$AD$105="Mayor"),CONCATENATE("R34C",'Mapa final'!$R$105),"")</f>
        <v/>
      </c>
      <c r="V239" s="43" t="str">
        <f>IF(AND('Mapa final'!$AB$103="Muy Baja",'Mapa final'!$AD$103="Catastrófico"),CONCATENATE("R34C",'Mapa final'!$R$103),"")</f>
        <v/>
      </c>
      <c r="W239" s="44" t="str">
        <f>IF(AND('Mapa final'!$AB$104="Muy Baja",'Mapa final'!$AD$104="Catastrófico"),CONCATENATE("R34C",'Mapa final'!$R$104),"")</f>
        <v/>
      </c>
      <c r="X239" s="100" t="str">
        <f>IF(AND('Mapa final'!$AB$105="Muy Baja",'Mapa final'!$AD$105="Catastrófico"),CONCATENATE("R34C",'Mapa final'!$R$105),"")</f>
        <v/>
      </c>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c r="BB239" s="56"/>
      <c r="BC239" s="56"/>
      <c r="BD239" s="56"/>
      <c r="BE239" s="56"/>
      <c r="BF239" s="56"/>
      <c r="BG239" s="56"/>
      <c r="BH239" s="56"/>
      <c r="BI239" s="56"/>
      <c r="BJ239" s="56"/>
      <c r="BK239" s="56"/>
      <c r="BL239" s="56"/>
      <c r="BM239" s="56"/>
    </row>
    <row r="240" spans="1:65" ht="15" customHeight="1" x14ac:dyDescent="0.35">
      <c r="A240" s="56"/>
      <c r="B240" s="300"/>
      <c r="C240" s="300"/>
      <c r="D240" s="301"/>
      <c r="E240" s="289"/>
      <c r="F240" s="290"/>
      <c r="G240" s="290"/>
      <c r="H240" s="290"/>
      <c r="I240" s="288"/>
      <c r="J240" s="115" t="str">
        <f>IF(AND('Mapa final'!$AB$106="Muy Baja",'Mapa final'!$AD$106="Leve"),CONCATENATE("R35C",'Mapa final'!$R$106),"")</f>
        <v/>
      </c>
      <c r="K240" s="54" t="str">
        <f>IF(AND('Mapa final'!$AB$107="Muy Baja",'Mapa final'!$AD$107="Leve"),CONCATENATE("R35C",'Mapa final'!$R$107),"")</f>
        <v/>
      </c>
      <c r="L240" s="116" t="str">
        <f>IF(AND('Mapa final'!$AB$108="Muy Baja",'Mapa final'!$AD$108="Leve"),CONCATENATE("R35C",'Mapa final'!$R$108),"")</f>
        <v/>
      </c>
      <c r="M240" s="115" t="str">
        <f>IF(AND('Mapa final'!$AB$106="Muy Baja",'Mapa final'!$AD$106="Menor"),CONCATENATE("R35C",'Mapa final'!$R$106),"")</f>
        <v/>
      </c>
      <c r="N240" s="54" t="str">
        <f>IF(AND('Mapa final'!$AB$107="Muy Baja",'Mapa final'!$AD$107="Menor"),CONCATENATE("R35C",'Mapa final'!$R$107),"")</f>
        <v/>
      </c>
      <c r="O240" s="116" t="str">
        <f>IF(AND('Mapa final'!$AB$108="Muy Baja",'Mapa final'!$AD$108="Menor"),CONCATENATE("R35C",'Mapa final'!$R$108),"")</f>
        <v/>
      </c>
      <c r="P240" s="49" t="str">
        <f>IF(AND('Mapa final'!$AB$106="Muy Baja",'Mapa final'!$AD$106="Moderado"),CONCATENATE("R35C",'Mapa final'!$R$106),"")</f>
        <v/>
      </c>
      <c r="Q240" s="50" t="str">
        <f>IF(AND('Mapa final'!$AB$107="Muy Baja",'Mapa final'!$AD$107="Moderado"),CONCATENATE("R35C",'Mapa final'!$R$107),"")</f>
        <v/>
      </c>
      <c r="R240" s="111" t="str">
        <f>IF(AND('Mapa final'!$AB$108="Muy Baja",'Mapa final'!$AD$108="Moderado"),CONCATENATE("R35C",'Mapa final'!$R$108),"")</f>
        <v/>
      </c>
      <c r="S240" s="105" t="str">
        <f>IF(AND('Mapa final'!$AB$106="Muy Baja",'Mapa final'!$AD$106="Mayor"),CONCATENATE("R35C",'Mapa final'!$R$106),"")</f>
        <v/>
      </c>
      <c r="T240" s="42" t="str">
        <f>IF(AND('Mapa final'!$AB$107="Muy Baja",'Mapa final'!$AD$107="Mayor"),CONCATENATE("R35C",'Mapa final'!$R$107),"")</f>
        <v/>
      </c>
      <c r="U240" s="106" t="str">
        <f>IF(AND('Mapa final'!$AB$108="Muy Baja",'Mapa final'!$AD$108="Mayor"),CONCATENATE("R35C",'Mapa final'!$R$108),"")</f>
        <v/>
      </c>
      <c r="V240" s="43" t="str">
        <f>IF(AND('Mapa final'!$AB$106="Muy Baja",'Mapa final'!$AD$106="Catastrófico"),CONCATENATE("R35C",'Mapa final'!$R$106),"")</f>
        <v/>
      </c>
      <c r="W240" s="44" t="str">
        <f>IF(AND('Mapa final'!$AB$107="Muy Baja",'Mapa final'!$AD$107="Catastrófico"),CONCATENATE("R35C",'Mapa final'!$R$107),"")</f>
        <v/>
      </c>
      <c r="X240" s="100" t="str">
        <f>IF(AND('Mapa final'!$AB$108="Muy Baja",'Mapa final'!$AD$108="Catastrófico"),CONCATENATE("R35C",'Mapa final'!$R$108),"")</f>
        <v/>
      </c>
      <c r="Y240" s="56"/>
      <c r="Z240" s="56"/>
      <c r="AA240" s="56"/>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c r="BB240" s="56"/>
      <c r="BC240" s="56"/>
      <c r="BD240" s="56"/>
      <c r="BE240" s="56"/>
      <c r="BF240" s="56"/>
      <c r="BG240" s="56"/>
      <c r="BH240" s="56"/>
      <c r="BI240" s="56"/>
      <c r="BJ240" s="56"/>
      <c r="BK240" s="56"/>
      <c r="BL240" s="56"/>
      <c r="BM240" s="56"/>
    </row>
    <row r="241" spans="1:65" ht="15" customHeight="1" x14ac:dyDescent="0.35">
      <c r="A241" s="56"/>
      <c r="B241" s="300"/>
      <c r="C241" s="300"/>
      <c r="D241" s="301"/>
      <c r="E241" s="289"/>
      <c r="F241" s="290"/>
      <c r="G241" s="290"/>
      <c r="H241" s="290"/>
      <c r="I241" s="288"/>
      <c r="J241" s="115" t="str">
        <f>IF(AND('Mapa final'!$AB$109="Muy Baja",'Mapa final'!$AD$109="Leve"),CONCATENATE("R36C",'Mapa final'!$R$109),"")</f>
        <v/>
      </c>
      <c r="K241" s="54" t="str">
        <f>IF(AND('Mapa final'!$AB$110="Muy Baja",'Mapa final'!$AD$110="Leve"),CONCATENATE("R36C",'Mapa final'!$R$110),"")</f>
        <v/>
      </c>
      <c r="L241" s="116" t="str">
        <f>IF(AND('Mapa final'!$AB$111="Muy Baja",'Mapa final'!$AD$111="Leve"),CONCATENATE("R36C",'Mapa final'!$R$111),"")</f>
        <v/>
      </c>
      <c r="M241" s="115" t="str">
        <f>IF(AND('Mapa final'!$AB$109="Muy Baja",'Mapa final'!$AD$109="Menor"),CONCATENATE("R36C",'Mapa final'!$R$109),"")</f>
        <v/>
      </c>
      <c r="N241" s="54" t="str">
        <f>IF(AND('Mapa final'!$AB$110="Muy Baja",'Mapa final'!$AD$110="Menor"),CONCATENATE("R36C",'Mapa final'!$R$110),"")</f>
        <v/>
      </c>
      <c r="O241" s="116" t="str">
        <f>IF(AND('Mapa final'!$AB$111="Muy Baja",'Mapa final'!$AD$111="Menor"),CONCATENATE("R36C",'Mapa final'!$R$111),"")</f>
        <v/>
      </c>
      <c r="P241" s="49" t="str">
        <f>IF(AND('Mapa final'!$AB$109="Muy Baja",'Mapa final'!$AD$109="Moderado"),CONCATENATE("R36C",'Mapa final'!$R$109),"")</f>
        <v/>
      </c>
      <c r="Q241" s="50" t="str">
        <f>IF(AND('Mapa final'!$AB$110="Muy Baja",'Mapa final'!$AD$110="Moderado"),CONCATENATE("R36C",'Mapa final'!$R$110),"")</f>
        <v/>
      </c>
      <c r="R241" s="111" t="str">
        <f>IF(AND('Mapa final'!$AB$111="Muy Baja",'Mapa final'!$AD$111="Moderado"),CONCATENATE("R36C",'Mapa final'!$R$111),"")</f>
        <v/>
      </c>
      <c r="S241" s="105" t="str">
        <f>IF(AND('Mapa final'!$AB$109="Muy Baja",'Mapa final'!$AD$109="Mayor"),CONCATENATE("R36C",'Mapa final'!$R$109),"")</f>
        <v/>
      </c>
      <c r="T241" s="42" t="str">
        <f>IF(AND('Mapa final'!$AB$110="Muy Baja",'Mapa final'!$AD$110="Mayor"),CONCATENATE("R36C",'Mapa final'!$R$110),"")</f>
        <v/>
      </c>
      <c r="U241" s="106" t="str">
        <f>IF(AND('Mapa final'!$AB$111="Muy Baja",'Mapa final'!$AD$111="Mayor"),CONCATENATE("R36C",'Mapa final'!$R$111),"")</f>
        <v/>
      </c>
      <c r="V241" s="43" t="str">
        <f>IF(AND('Mapa final'!$AB$109="Muy Baja",'Mapa final'!$AD$109="Catastrófico"),CONCATENATE("R36C",'Mapa final'!$R$109),"")</f>
        <v/>
      </c>
      <c r="W241" s="44" t="str">
        <f>IF(AND('Mapa final'!$AB$110="Muy Baja",'Mapa final'!$AD$110="Catastrófico"),CONCATENATE("R36C",'Mapa final'!$R$110),"")</f>
        <v/>
      </c>
      <c r="X241" s="100" t="str">
        <f>IF(AND('Mapa final'!$AB$111="Muy Baja",'Mapa final'!$AD$111="Catastrófico"),CONCATENATE("R36C",'Mapa final'!$R$111),"")</f>
        <v/>
      </c>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c r="BB241" s="56"/>
      <c r="BC241" s="56"/>
      <c r="BD241" s="56"/>
      <c r="BE241" s="56"/>
      <c r="BF241" s="56"/>
      <c r="BG241" s="56"/>
      <c r="BH241" s="56"/>
      <c r="BI241" s="56"/>
      <c r="BJ241" s="56"/>
      <c r="BK241" s="56"/>
      <c r="BL241" s="56"/>
      <c r="BM241" s="56"/>
    </row>
    <row r="242" spans="1:65" ht="15" customHeight="1" x14ac:dyDescent="0.35">
      <c r="A242" s="56"/>
      <c r="B242" s="300"/>
      <c r="C242" s="300"/>
      <c r="D242" s="301"/>
      <c r="E242" s="289"/>
      <c r="F242" s="290"/>
      <c r="G242" s="290"/>
      <c r="H242" s="290"/>
      <c r="I242" s="288"/>
      <c r="J242" s="115" t="str">
        <f>IF(AND('Mapa final'!$AB$112="Muy Baja",'Mapa final'!$AD$112="Leve"),CONCATENATE("R37C",'Mapa final'!$R$112),"")</f>
        <v/>
      </c>
      <c r="K242" s="54" t="str">
        <f>IF(AND('Mapa final'!$AB$113="Muy Baja",'Mapa final'!$AD$113="Leve"),CONCATENATE("R37C",'Mapa final'!$R$113),"")</f>
        <v/>
      </c>
      <c r="L242" s="116" t="str">
        <f>IF(AND('Mapa final'!$AB$114="Muy Baja",'Mapa final'!$AD$114="Leve"),CONCATENATE("R37C",'Mapa final'!$R$114),"")</f>
        <v/>
      </c>
      <c r="M242" s="115" t="str">
        <f>IF(AND('Mapa final'!$AB$112="Muy Baja",'Mapa final'!$AD$112="Menor"),CONCATENATE("R37C",'Mapa final'!$R$112),"")</f>
        <v/>
      </c>
      <c r="N242" s="54" t="str">
        <f>IF(AND('Mapa final'!$AB$113="Muy Baja",'Mapa final'!$AD$113="Menor"),CONCATENATE("R37C",'Mapa final'!$R$113),"")</f>
        <v/>
      </c>
      <c r="O242" s="116" t="str">
        <f>IF(AND('Mapa final'!$AB$114="Muy Baja",'Mapa final'!$AD$114="Menor"),CONCATENATE("R37C",'Mapa final'!$R$114),"")</f>
        <v/>
      </c>
      <c r="P242" s="49" t="str">
        <f>IF(AND('Mapa final'!$AB$112="Muy Baja",'Mapa final'!$AD$112="Moderado"),CONCATENATE("R37C",'Mapa final'!$R$112),"")</f>
        <v/>
      </c>
      <c r="Q242" s="50" t="str">
        <f>IF(AND('Mapa final'!$AB$113="Muy Baja",'Mapa final'!$AD$113="Moderado"),CONCATENATE("R37C",'Mapa final'!$R$113),"")</f>
        <v/>
      </c>
      <c r="R242" s="111" t="str">
        <f>IF(AND('Mapa final'!$AB$114="Muy Baja",'Mapa final'!$AD$114="Moderado"),CONCATENATE("R37C",'Mapa final'!$R$114),"")</f>
        <v/>
      </c>
      <c r="S242" s="105" t="str">
        <f>IF(AND('Mapa final'!$AB$112="Muy Baja",'Mapa final'!$AD$112="Mayor"),CONCATENATE("R37C",'Mapa final'!$R$112),"")</f>
        <v/>
      </c>
      <c r="T242" s="42" t="str">
        <f>IF(AND('Mapa final'!$AB$113="Muy Baja",'Mapa final'!$AD$113="Mayor"),CONCATENATE("R37C",'Mapa final'!$R$113),"")</f>
        <v/>
      </c>
      <c r="U242" s="106" t="str">
        <f>IF(AND('Mapa final'!$AB$114="Muy Baja",'Mapa final'!$AD$114="Mayor"),CONCATENATE("R37C",'Mapa final'!$R$114),"")</f>
        <v/>
      </c>
      <c r="V242" s="43" t="str">
        <f>IF(AND('Mapa final'!$AB$112="Muy Baja",'Mapa final'!$AD$112="Catastrófico"),CONCATENATE("R37C",'Mapa final'!$R$112),"")</f>
        <v/>
      </c>
      <c r="W242" s="44" t="str">
        <f>IF(AND('Mapa final'!$AB$113="Muy Baja",'Mapa final'!$AD$113="Catastrófico"),CONCATENATE("R37C",'Mapa final'!$R$113),"")</f>
        <v/>
      </c>
      <c r="X242" s="100" t="str">
        <f>IF(AND('Mapa final'!$AB$114="Muy Baja",'Mapa final'!$AD$114="Catastrófico"),CONCATENATE("R37C",'Mapa final'!$R$114),"")</f>
        <v/>
      </c>
      <c r="Y242" s="56"/>
      <c r="Z242" s="56"/>
      <c r="AA242" s="56"/>
      <c r="AB242" s="56"/>
      <c r="AC242" s="56"/>
      <c r="AD242" s="56"/>
      <c r="AE242" s="56"/>
      <c r="AF242" s="56"/>
      <c r="AG242" s="56"/>
      <c r="AH242" s="56"/>
      <c r="AI242" s="56"/>
      <c r="AJ242" s="56"/>
      <c r="AK242" s="56"/>
      <c r="AL242" s="56"/>
      <c r="AM242" s="56"/>
      <c r="AN242" s="56"/>
      <c r="AO242" s="56"/>
      <c r="AP242" s="56"/>
      <c r="AQ242" s="56"/>
      <c r="AR242" s="56"/>
      <c r="AS242" s="56"/>
      <c r="AT242" s="56"/>
      <c r="AU242" s="56"/>
      <c r="AV242" s="56"/>
      <c r="AW242" s="56"/>
      <c r="AX242" s="56"/>
      <c r="AY242" s="56"/>
      <c r="AZ242" s="56"/>
      <c r="BA242" s="56"/>
      <c r="BB242" s="56"/>
      <c r="BC242" s="56"/>
      <c r="BD242" s="56"/>
      <c r="BE242" s="56"/>
      <c r="BF242" s="56"/>
      <c r="BG242" s="56"/>
      <c r="BH242" s="56"/>
      <c r="BI242" s="56"/>
      <c r="BJ242" s="56"/>
      <c r="BK242" s="56"/>
      <c r="BL242" s="56"/>
      <c r="BM242" s="56"/>
    </row>
    <row r="243" spans="1:65" ht="15" customHeight="1" x14ac:dyDescent="0.35">
      <c r="A243" s="56"/>
      <c r="B243" s="300"/>
      <c r="C243" s="300"/>
      <c r="D243" s="301"/>
      <c r="E243" s="289"/>
      <c r="F243" s="290"/>
      <c r="G243" s="290"/>
      <c r="H243" s="290"/>
      <c r="I243" s="288"/>
      <c r="J243" s="115" t="str">
        <f>IF(AND('Mapa final'!$AB$115="Muy Baja",'Mapa final'!$AD$115="Leve"),CONCATENATE("R38C",'Mapa final'!$R$115),"")</f>
        <v/>
      </c>
      <c r="K243" s="54" t="str">
        <f>IF(AND('Mapa final'!$AB$116="Muy Baja",'Mapa final'!$AD$116="Leve"),CONCATENATE("R38C",'Mapa final'!$R$116),"")</f>
        <v/>
      </c>
      <c r="L243" s="116" t="str">
        <f>IF(AND('Mapa final'!$AB$117="Muy Baja",'Mapa final'!$AD$117="Leve"),CONCATENATE("R38C",'Mapa final'!$R$117),"")</f>
        <v/>
      </c>
      <c r="M243" s="115" t="str">
        <f>IF(AND('Mapa final'!$AB$115="Muy Baja",'Mapa final'!$AD$115="Menor"),CONCATENATE("R38C",'Mapa final'!$R$115),"")</f>
        <v/>
      </c>
      <c r="N243" s="54" t="str">
        <f>IF(AND('Mapa final'!$AB$116="Muy Baja",'Mapa final'!$AD$116="Menor"),CONCATENATE("R38C",'Mapa final'!$R$116),"")</f>
        <v>R38C2</v>
      </c>
      <c r="O243" s="116" t="str">
        <f>IF(AND('Mapa final'!$AB$117="Muy Baja",'Mapa final'!$AD$117="Menor"),CONCATENATE("R38C",'Mapa final'!$R$117),"")</f>
        <v/>
      </c>
      <c r="P243" s="49" t="str">
        <f>IF(AND('Mapa final'!$AB$115="Muy Baja",'Mapa final'!$AD$115="Moderado"),CONCATENATE("R38C",'Mapa final'!$R$115),"")</f>
        <v/>
      </c>
      <c r="Q243" s="50" t="str">
        <f>IF(AND('Mapa final'!$AB$116="Muy Baja",'Mapa final'!$AD$116="Moderado"),CONCATENATE("R38C",'Mapa final'!$R$116),"")</f>
        <v/>
      </c>
      <c r="R243" s="111" t="str">
        <f>IF(AND('Mapa final'!$AB$117="Muy Baja",'Mapa final'!$AD$117="Moderado"),CONCATENATE("R38C",'Mapa final'!$R$117),"")</f>
        <v/>
      </c>
      <c r="S243" s="105" t="str">
        <f>IF(AND('Mapa final'!$AB$115="Muy Baja",'Mapa final'!$AD$115="Mayor"),CONCATENATE("R38C",'Mapa final'!$R$115),"")</f>
        <v/>
      </c>
      <c r="T243" s="42" t="str">
        <f>IF(AND('Mapa final'!$AB$116="Muy Baja",'Mapa final'!$AD$116="Mayor"),CONCATENATE("R38C",'Mapa final'!$R$116),"")</f>
        <v/>
      </c>
      <c r="U243" s="106" t="str">
        <f>IF(AND('Mapa final'!$AB$117="Muy Baja",'Mapa final'!$AD$117="Mayor"),CONCATENATE("R38C",'Mapa final'!$R$117),"")</f>
        <v/>
      </c>
      <c r="V243" s="43" t="str">
        <f>IF(AND('Mapa final'!$AB$115="Muy Baja",'Mapa final'!$AD$115="Catastrófico"),CONCATENATE("R38C",'Mapa final'!$R$115),"")</f>
        <v/>
      </c>
      <c r="W243" s="44" t="str">
        <f>IF(AND('Mapa final'!$AB$116="Muy Baja",'Mapa final'!$AD$116="Catastrófico"),CONCATENATE("R38C",'Mapa final'!$R$116),"")</f>
        <v/>
      </c>
      <c r="X243" s="100" t="str">
        <f>IF(AND('Mapa final'!$AB$117="Muy Baja",'Mapa final'!$AD$117="Catastrófico"),CONCATENATE("R38C",'Mapa final'!$R$117),"")</f>
        <v/>
      </c>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c r="BB243" s="56"/>
      <c r="BC243" s="56"/>
      <c r="BD243" s="56"/>
      <c r="BE243" s="56"/>
      <c r="BF243" s="56"/>
      <c r="BG243" s="56"/>
      <c r="BH243" s="56"/>
      <c r="BI243" s="56"/>
      <c r="BJ243" s="56"/>
      <c r="BK243" s="56"/>
      <c r="BL243" s="56"/>
      <c r="BM243" s="56"/>
    </row>
    <row r="244" spans="1:65" ht="15" customHeight="1" x14ac:dyDescent="0.35">
      <c r="A244" s="56"/>
      <c r="B244" s="300"/>
      <c r="C244" s="300"/>
      <c r="D244" s="301"/>
      <c r="E244" s="289"/>
      <c r="F244" s="290"/>
      <c r="G244" s="290"/>
      <c r="H244" s="290"/>
      <c r="I244" s="288"/>
      <c r="J244" s="115" t="str">
        <f>IF(AND('Mapa final'!$AB$118="Muy Baja",'Mapa final'!$AD$118="Leve"),CONCATENATE("R39C",'Mapa final'!$R$118),"")</f>
        <v/>
      </c>
      <c r="K244" s="54" t="str">
        <f>IF(AND('Mapa final'!$AB$119="Muy Baja",'Mapa final'!$AD$119="Leve"),CONCATENATE("R39C",'Mapa final'!$R$119),"")</f>
        <v/>
      </c>
      <c r="L244" s="116" t="str">
        <f>IF(AND('Mapa final'!$AB$120="Muy Baja",'Mapa final'!$AD$120="Leve"),CONCATENATE("R39C",'Mapa final'!$R$120),"")</f>
        <v/>
      </c>
      <c r="M244" s="115" t="str">
        <f>IF(AND('Mapa final'!$AB$118="Muy Baja",'Mapa final'!$AD$118="Menor"),CONCATENATE("R39C",'Mapa final'!$R$118),"")</f>
        <v/>
      </c>
      <c r="N244" s="54" t="str">
        <f>IF(AND('Mapa final'!$AB$119="Muy Baja",'Mapa final'!$AD$119="Menor"),CONCATENATE("R39C",'Mapa final'!$R$119),"")</f>
        <v/>
      </c>
      <c r="O244" s="116" t="str">
        <f>IF(AND('Mapa final'!$AB$120="Muy Baja",'Mapa final'!$AD$120="Menor"),CONCATENATE("R39C",'Mapa final'!$R$120),"")</f>
        <v/>
      </c>
      <c r="P244" s="49" t="str">
        <f>IF(AND('Mapa final'!$AB$118="Muy Baja",'Mapa final'!$AD$118="Moderado"),CONCATENATE("R39C",'Mapa final'!$R$118),"")</f>
        <v/>
      </c>
      <c r="Q244" s="50" t="str">
        <f>IF(AND('Mapa final'!$AB$119="Muy Baja",'Mapa final'!$AD$119="Moderado"),CONCATENATE("R39C",'Mapa final'!$R$119),"")</f>
        <v/>
      </c>
      <c r="R244" s="111" t="str">
        <f>IF(AND('Mapa final'!$AB$120="Muy Baja",'Mapa final'!$AD$120="Moderado"),CONCATENATE("R39C",'Mapa final'!$R$120),"")</f>
        <v/>
      </c>
      <c r="S244" s="105" t="str">
        <f>IF(AND('Mapa final'!$AB$118="Muy Baja",'Mapa final'!$AD$118="Mayor"),CONCATENATE("R39C",'Mapa final'!$R$118),"")</f>
        <v/>
      </c>
      <c r="T244" s="42" t="str">
        <f>IF(AND('Mapa final'!$AB$119="Muy Baja",'Mapa final'!$AD$119="Mayor"),CONCATENATE("R39C",'Mapa final'!$R$119),"")</f>
        <v/>
      </c>
      <c r="U244" s="106" t="str">
        <f>IF(AND('Mapa final'!$AB$120="Muy Baja",'Mapa final'!$AD$120="Mayor"),CONCATENATE("R39C",'Mapa final'!$R$120),"")</f>
        <v/>
      </c>
      <c r="V244" s="43" t="str">
        <f>IF(AND('Mapa final'!$AB$118="Muy Baja",'Mapa final'!$AD$118="Catastrófico"),CONCATENATE("R39C",'Mapa final'!$R$118),"")</f>
        <v/>
      </c>
      <c r="W244" s="44" t="str">
        <f>IF(AND('Mapa final'!$AB$119="Muy Baja",'Mapa final'!$AD$119="Catastrófico"),CONCATENATE("R39C",'Mapa final'!$R$119),"")</f>
        <v/>
      </c>
      <c r="X244" s="100" t="str">
        <f>IF(AND('Mapa final'!$AB$120="Muy Baja",'Mapa final'!$AD$120="Catastrófico"),CONCATENATE("R39C",'Mapa final'!$R$120),"")</f>
        <v/>
      </c>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56"/>
      <c r="AV244" s="56"/>
      <c r="AW244" s="56"/>
      <c r="AX244" s="56"/>
      <c r="AY244" s="56"/>
      <c r="AZ244" s="56"/>
      <c r="BA244" s="56"/>
      <c r="BB244" s="56"/>
      <c r="BC244" s="56"/>
      <c r="BD244" s="56"/>
      <c r="BE244" s="56"/>
      <c r="BF244" s="56"/>
      <c r="BG244" s="56"/>
      <c r="BH244" s="56"/>
      <c r="BI244" s="56"/>
      <c r="BJ244" s="56"/>
      <c r="BK244" s="56"/>
      <c r="BL244" s="56"/>
      <c r="BM244" s="56"/>
    </row>
    <row r="245" spans="1:65" ht="15" customHeight="1" x14ac:dyDescent="0.35">
      <c r="A245" s="56"/>
      <c r="B245" s="300"/>
      <c r="C245" s="300"/>
      <c r="D245" s="301"/>
      <c r="E245" s="289"/>
      <c r="F245" s="290"/>
      <c r="G245" s="290"/>
      <c r="H245" s="290"/>
      <c r="I245" s="288"/>
      <c r="J245" s="115" t="str">
        <f>IF(AND('Mapa final'!$AB$121="Muy Baja",'Mapa final'!$AD$121="Leve"),CONCATENATE("R40C",'Mapa final'!$R$121),"")</f>
        <v/>
      </c>
      <c r="K245" s="54" t="str">
        <f>IF(AND('Mapa final'!$AB$122="Muy Baja",'Mapa final'!$AD$122="Leve"),CONCATENATE("R40C",'Mapa final'!$R$122),"")</f>
        <v/>
      </c>
      <c r="L245" s="116" t="str">
        <f>IF(AND('Mapa final'!$AB$123="Muy Baja",'Mapa final'!$AD$123="Leve"),CONCATENATE("R40C",'Mapa final'!$R$123),"")</f>
        <v/>
      </c>
      <c r="M245" s="115" t="str">
        <f>IF(AND('Mapa final'!$AB$121="Muy Baja",'Mapa final'!$AD$121="Menor"),CONCATENATE("R40C",'Mapa final'!$R$121),"")</f>
        <v/>
      </c>
      <c r="N245" s="54" t="str">
        <f>IF(AND('Mapa final'!$AB$122="Muy Baja",'Mapa final'!$AD$122="Menor"),CONCATENATE("R40C",'Mapa final'!$R$122),"")</f>
        <v/>
      </c>
      <c r="O245" s="116" t="str">
        <f>IF(AND('Mapa final'!$AB$123="Muy Baja",'Mapa final'!$AD$123="Menor"),CONCATENATE("R40C",'Mapa final'!$R$123),"")</f>
        <v/>
      </c>
      <c r="P245" s="49" t="str">
        <f>IF(AND('Mapa final'!$AB$121="Muy Baja",'Mapa final'!$AD$121="Moderado"),CONCATENATE("R40C",'Mapa final'!$R$121),"")</f>
        <v/>
      </c>
      <c r="Q245" s="50" t="str">
        <f>IF(AND('Mapa final'!$AB$122="Muy Baja",'Mapa final'!$AD$122="Moderado"),CONCATENATE("R40C",'Mapa final'!$R$122),"")</f>
        <v/>
      </c>
      <c r="R245" s="111" t="str">
        <f>IF(AND('Mapa final'!$AB$123="Muy Baja",'Mapa final'!$AD$123="Moderado"),CONCATENATE("R40C",'Mapa final'!$R$123),"")</f>
        <v/>
      </c>
      <c r="S245" s="105" t="str">
        <f>IF(AND('Mapa final'!$AB$121="Muy Baja",'Mapa final'!$AD$121="Mayor"),CONCATENATE("R40C",'Mapa final'!$R$121),"")</f>
        <v/>
      </c>
      <c r="T245" s="42" t="str">
        <f>IF(AND('Mapa final'!$AB$122="Muy Baja",'Mapa final'!$AD$122="Mayor"),CONCATENATE("R40C",'Mapa final'!$R$122),"")</f>
        <v/>
      </c>
      <c r="U245" s="106" t="str">
        <f>IF(AND('Mapa final'!$AB$123="Muy Baja",'Mapa final'!$AD$123="Mayor"),CONCATENATE("R40C",'Mapa final'!$R$123),"")</f>
        <v/>
      </c>
      <c r="V245" s="43" t="str">
        <f>IF(AND('Mapa final'!$AB$121="Muy Baja",'Mapa final'!$AD$121="Catastrófico"),CONCATENATE("R40C",'Mapa final'!$R$121),"")</f>
        <v/>
      </c>
      <c r="W245" s="44" t="str">
        <f>IF(AND('Mapa final'!$AB$122="Muy Baja",'Mapa final'!$AD$122="Catastrófico"),CONCATENATE("R40C",'Mapa final'!$R$122),"")</f>
        <v/>
      </c>
      <c r="X245" s="100" t="str">
        <f>IF(AND('Mapa final'!$AB$123="Muy Baja",'Mapa final'!$AD$123="Catastrófico"),CONCATENATE("R40C",'Mapa final'!$R$123),"")</f>
        <v/>
      </c>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c r="BB245" s="56"/>
      <c r="BC245" s="56"/>
      <c r="BD245" s="56"/>
      <c r="BE245" s="56"/>
      <c r="BF245" s="56"/>
      <c r="BG245" s="56"/>
      <c r="BH245" s="56"/>
      <c r="BI245" s="56"/>
      <c r="BJ245" s="56"/>
      <c r="BK245" s="56"/>
      <c r="BL245" s="56"/>
      <c r="BM245" s="56"/>
    </row>
    <row r="246" spans="1:65" ht="15" customHeight="1" x14ac:dyDescent="0.35">
      <c r="A246" s="56"/>
      <c r="B246" s="300"/>
      <c r="C246" s="300"/>
      <c r="D246" s="301"/>
      <c r="E246" s="289"/>
      <c r="F246" s="290"/>
      <c r="G246" s="290"/>
      <c r="H246" s="290"/>
      <c r="I246" s="288"/>
      <c r="J246" s="115" t="str">
        <f>IF(AND('Mapa final'!$AB$124="Muy Baja",'Mapa final'!$AD$124="Leve"),CONCATENATE("R41C",'Mapa final'!$R$124),"")</f>
        <v/>
      </c>
      <c r="K246" s="54" t="str">
        <f>IF(AND('Mapa final'!$AB$125="Muy Baja",'Mapa final'!$AD$125="Leve"),CONCATENATE("R41C",'Mapa final'!$R$125),"")</f>
        <v/>
      </c>
      <c r="L246" s="116" t="str">
        <f>IF(AND('Mapa final'!$AB$126="Muy Baja",'Mapa final'!$AD$126="Leve"),CONCATENATE("R41C",'Mapa final'!$R$126),"")</f>
        <v/>
      </c>
      <c r="M246" s="115" t="str">
        <f>IF(AND('Mapa final'!$AB$124="Muy Baja",'Mapa final'!$AD$124="Menor"),CONCATENATE("R41C",'Mapa final'!$R$124),"")</f>
        <v/>
      </c>
      <c r="N246" s="54" t="str">
        <f>IF(AND('Mapa final'!$AB$125="Muy Baja",'Mapa final'!$AD$125="Menor"),CONCATENATE("R41C",'Mapa final'!$R$125),"")</f>
        <v/>
      </c>
      <c r="O246" s="116" t="str">
        <f>IF(AND('Mapa final'!$AB$126="Muy Baja",'Mapa final'!$AD$126="Menor"),CONCATENATE("R41C",'Mapa final'!$R$126),"")</f>
        <v/>
      </c>
      <c r="P246" s="49" t="str">
        <f>IF(AND('Mapa final'!$AB$124="Muy Baja",'Mapa final'!$AD$124="Moderado"),CONCATENATE("R41C",'Mapa final'!$R$124),"")</f>
        <v/>
      </c>
      <c r="Q246" s="50" t="str">
        <f>IF(AND('Mapa final'!$AB$125="Muy Baja",'Mapa final'!$AD$125="Moderado"),CONCATENATE("R41C",'Mapa final'!$R$125),"")</f>
        <v/>
      </c>
      <c r="R246" s="111" t="str">
        <f>IF(AND('Mapa final'!$AB$126="Muy Baja",'Mapa final'!$AD$126="Moderado"),CONCATENATE("R41C",'Mapa final'!$R$126),"")</f>
        <v/>
      </c>
      <c r="S246" s="105" t="str">
        <f>IF(AND('Mapa final'!$AB$124="Muy Baja",'Mapa final'!$AD$124="Mayor"),CONCATENATE("R41C",'Mapa final'!$R$124),"")</f>
        <v/>
      </c>
      <c r="T246" s="42" t="str">
        <f>IF(AND('Mapa final'!$AB$125="Muy Baja",'Mapa final'!$AD$125="Mayor"),CONCATENATE("R41C",'Mapa final'!$R$125),"")</f>
        <v/>
      </c>
      <c r="U246" s="106" t="str">
        <f>IF(AND('Mapa final'!$AB$126="Muy Baja",'Mapa final'!$AD$126="Mayor"),CONCATENATE("R41C",'Mapa final'!$R$126),"")</f>
        <v/>
      </c>
      <c r="V246" s="43" t="str">
        <f>IF(AND('Mapa final'!$AB$124="Muy Baja",'Mapa final'!$AD$124="Catastrófico"),CONCATENATE("R41C",'Mapa final'!$R$124),"")</f>
        <v/>
      </c>
      <c r="W246" s="44" t="str">
        <f>IF(AND('Mapa final'!$AB$125="Muy Baja",'Mapa final'!$AD$125="Catastrófico"),CONCATENATE("R41C",'Mapa final'!$R$125),"")</f>
        <v/>
      </c>
      <c r="X246" s="100" t="str">
        <f>IF(AND('Mapa final'!$AB$126="Muy Baja",'Mapa final'!$AD$126="Catastrófico"),CONCATENATE("R41C",'Mapa final'!$R$126),"")</f>
        <v/>
      </c>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c r="BB246" s="56"/>
      <c r="BC246" s="56"/>
      <c r="BD246" s="56"/>
      <c r="BE246" s="56"/>
      <c r="BF246" s="56"/>
      <c r="BG246" s="56"/>
      <c r="BH246" s="56"/>
      <c r="BI246" s="56"/>
      <c r="BJ246" s="56"/>
      <c r="BK246" s="56"/>
      <c r="BL246" s="56"/>
      <c r="BM246" s="56"/>
    </row>
    <row r="247" spans="1:65" ht="15" customHeight="1" x14ac:dyDescent="0.35">
      <c r="A247" s="56"/>
      <c r="B247" s="300"/>
      <c r="C247" s="300"/>
      <c r="D247" s="301"/>
      <c r="E247" s="289"/>
      <c r="F247" s="290"/>
      <c r="G247" s="290"/>
      <c r="H247" s="290"/>
      <c r="I247" s="288"/>
      <c r="J247" s="115" t="str">
        <f>IF(AND('Mapa final'!$AB$127="Muy Baja",'Mapa final'!$AD$127="Leve"),CONCATENATE("R42C",'Mapa final'!$R$127),"")</f>
        <v/>
      </c>
      <c r="K247" s="54" t="str">
        <f>IF(AND('Mapa final'!$AB$128="Muy Baja",'Mapa final'!$AD$128="Leve"),CONCATENATE("R42C",'Mapa final'!$R$128),"")</f>
        <v/>
      </c>
      <c r="L247" s="116" t="str">
        <f>IF(AND('Mapa final'!$AB$129="Muy Baja",'Mapa final'!$AD$129="Leve"),CONCATENATE("R42C",'Mapa final'!$R$129),"")</f>
        <v/>
      </c>
      <c r="M247" s="115" t="str">
        <f>IF(AND('Mapa final'!$AB$127="Muy Baja",'Mapa final'!$AD$127="Menor"),CONCATENATE("R42C",'Mapa final'!$R$127),"")</f>
        <v/>
      </c>
      <c r="N247" s="54" t="str">
        <f>IF(AND('Mapa final'!$AB$128="Muy Baja",'Mapa final'!$AD$128="Menor"),CONCATENATE("R42C",'Mapa final'!$R$128),"")</f>
        <v/>
      </c>
      <c r="O247" s="116" t="str">
        <f>IF(AND('Mapa final'!$AB$129="Muy Baja",'Mapa final'!$AD$129="Menor"),CONCATENATE("R42C",'Mapa final'!$R$129),"")</f>
        <v/>
      </c>
      <c r="P247" s="49" t="str">
        <f>IF(AND('Mapa final'!$AB$127="Muy Baja",'Mapa final'!$AD$127="Moderado"),CONCATENATE("R42C",'Mapa final'!$R$127),"")</f>
        <v/>
      </c>
      <c r="Q247" s="50" t="str">
        <f>IF(AND('Mapa final'!$AB$128="Muy Baja",'Mapa final'!$AD$128="Moderado"),CONCATENATE("R42C",'Mapa final'!$R$128),"")</f>
        <v/>
      </c>
      <c r="R247" s="111" t="str">
        <f>IF(AND('Mapa final'!$AB$129="Muy Baja",'Mapa final'!$AD$129="Moderado"),CONCATENATE("R42C",'Mapa final'!$R$129),"")</f>
        <v/>
      </c>
      <c r="S247" s="105" t="str">
        <f>IF(AND('Mapa final'!$AB$127="Muy Baja",'Mapa final'!$AD$127="Mayor"),CONCATENATE("R42C",'Mapa final'!$R$127),"")</f>
        <v/>
      </c>
      <c r="T247" s="42" t="str">
        <f>IF(AND('Mapa final'!$AB$128="Muy Baja",'Mapa final'!$AD$128="Mayor"),CONCATENATE("R42C",'Mapa final'!$R$128),"")</f>
        <v/>
      </c>
      <c r="U247" s="106" t="str">
        <f>IF(AND('Mapa final'!$AB$129="Muy Baja",'Mapa final'!$AD$129="Mayor"),CONCATENATE("R42C",'Mapa final'!$R$129),"")</f>
        <v/>
      </c>
      <c r="V247" s="43" t="str">
        <f>IF(AND('Mapa final'!$AB$127="Muy Baja",'Mapa final'!$AD$127="Catastrófico"),CONCATENATE("R42C",'Mapa final'!$R$127),"")</f>
        <v/>
      </c>
      <c r="W247" s="44" t="str">
        <f>IF(AND('Mapa final'!$AB$128="Muy Baja",'Mapa final'!$AD$128="Catastrófico"),CONCATENATE("R42C",'Mapa final'!$R$128),"")</f>
        <v/>
      </c>
      <c r="X247" s="100" t="str">
        <f>IF(AND('Mapa final'!$AB$129="Muy Baja",'Mapa final'!$AD$129="Catastrófico"),CONCATENATE("R42C",'Mapa final'!$R$129),"")</f>
        <v/>
      </c>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c r="BA247" s="56"/>
      <c r="BB247" s="56"/>
      <c r="BC247" s="56"/>
      <c r="BD247" s="56"/>
      <c r="BE247" s="56"/>
      <c r="BF247" s="56"/>
      <c r="BG247" s="56"/>
      <c r="BH247" s="56"/>
      <c r="BI247" s="56"/>
      <c r="BJ247" s="56"/>
      <c r="BK247" s="56"/>
      <c r="BL247" s="56"/>
      <c r="BM247" s="56"/>
    </row>
    <row r="248" spans="1:65" ht="15" customHeight="1" x14ac:dyDescent="0.35">
      <c r="A248" s="56"/>
      <c r="B248" s="300"/>
      <c r="C248" s="300"/>
      <c r="D248" s="301"/>
      <c r="E248" s="289"/>
      <c r="F248" s="290"/>
      <c r="G248" s="290"/>
      <c r="H248" s="290"/>
      <c r="I248" s="288"/>
      <c r="J248" s="115" t="str">
        <f>IF(AND('Mapa final'!$AB$130="Muy Baja",'Mapa final'!$AD$130="Leve"),CONCATENATE("R43C",'Mapa final'!$R$130),"")</f>
        <v/>
      </c>
      <c r="K248" s="54" t="str">
        <f>IF(AND('Mapa final'!$AB$131="Muy Baja",'Mapa final'!$AD$131="Leve"),CONCATENATE("R43C",'Mapa final'!$R$131),"")</f>
        <v/>
      </c>
      <c r="L248" s="116" t="str">
        <f>IF(AND('Mapa final'!$AB$132="Muy Baja",'Mapa final'!$AD$132="Leve"),CONCATENATE("R43C",'Mapa final'!$R$132),"")</f>
        <v/>
      </c>
      <c r="M248" s="115" t="str">
        <f>IF(AND('Mapa final'!$AB$130="Muy Baja",'Mapa final'!$AD$130="Menor"),CONCATENATE("R43C",'Mapa final'!$R$130),"")</f>
        <v/>
      </c>
      <c r="N248" s="54" t="str">
        <f>IF(AND('Mapa final'!$AB$131="Muy Baja",'Mapa final'!$AD$131="Menor"),CONCATENATE("R43C",'Mapa final'!$R$131),"")</f>
        <v/>
      </c>
      <c r="O248" s="116" t="str">
        <f>IF(AND('Mapa final'!$AB$132="Muy Baja",'Mapa final'!$AD$132="Menor"),CONCATENATE("R43C",'Mapa final'!$R$132),"")</f>
        <v/>
      </c>
      <c r="P248" s="49" t="str">
        <f>IF(AND('Mapa final'!$AB$130="Muy Baja",'Mapa final'!$AD$130="Moderado"),CONCATENATE("R43C",'Mapa final'!$R$130),"")</f>
        <v/>
      </c>
      <c r="Q248" s="50" t="str">
        <f>IF(AND('Mapa final'!$AB$131="Muy Baja",'Mapa final'!$AD$131="Moderado"),CONCATENATE("R43C",'Mapa final'!$R$131),"")</f>
        <v/>
      </c>
      <c r="R248" s="111" t="str">
        <f>IF(AND('Mapa final'!$AB$132="Muy Baja",'Mapa final'!$AD$132="Moderado"),CONCATENATE("R43C",'Mapa final'!$R$132),"")</f>
        <v/>
      </c>
      <c r="S248" s="105" t="str">
        <f>IF(AND('Mapa final'!$AB$130="Muy Baja",'Mapa final'!$AD$130="Mayor"),CONCATENATE("R43C",'Mapa final'!$R$130),"")</f>
        <v/>
      </c>
      <c r="T248" s="42" t="str">
        <f>IF(AND('Mapa final'!$AB$131="Muy Baja",'Mapa final'!$AD$131="Mayor"),CONCATENATE("R43C",'Mapa final'!$R$131),"")</f>
        <v/>
      </c>
      <c r="U248" s="106" t="str">
        <f>IF(AND('Mapa final'!$AB$132="Muy Baja",'Mapa final'!$AD$132="Mayor"),CONCATENATE("R43C",'Mapa final'!$R$132),"")</f>
        <v>R43C3</v>
      </c>
      <c r="V248" s="43" t="str">
        <f>IF(AND('Mapa final'!$AB$130="Muy Baja",'Mapa final'!$AD$130="Catastrófico"),CONCATENATE("R43C",'Mapa final'!$R$130),"")</f>
        <v/>
      </c>
      <c r="W248" s="44" t="str">
        <f>IF(AND('Mapa final'!$AB$131="Muy Baja",'Mapa final'!$AD$131="Catastrófico"),CONCATENATE("R43C",'Mapa final'!$R$131),"")</f>
        <v/>
      </c>
      <c r="X248" s="100" t="str">
        <f>IF(AND('Mapa final'!$AB$132="Muy Baja",'Mapa final'!$AD$132="Catastrófico"),CONCATENATE("R43C",'Mapa final'!$R$132),"")</f>
        <v/>
      </c>
      <c r="Y248" s="56"/>
      <c r="Z248" s="56"/>
      <c r="AA248" s="56"/>
      <c r="AB248" s="56"/>
      <c r="AC248" s="56"/>
      <c r="AD248" s="56"/>
      <c r="AE248" s="56"/>
      <c r="AF248" s="56"/>
      <c r="AG248" s="56"/>
      <c r="AH248" s="56"/>
      <c r="AI248" s="56"/>
      <c r="AJ248" s="56"/>
      <c r="AK248" s="56"/>
      <c r="AL248" s="56"/>
      <c r="AM248" s="56"/>
      <c r="AN248" s="56"/>
      <c r="AO248" s="56"/>
      <c r="AP248" s="56"/>
      <c r="AQ248" s="56"/>
      <c r="AR248" s="56"/>
      <c r="AS248" s="56"/>
      <c r="AT248" s="56"/>
      <c r="AU248" s="56"/>
      <c r="AV248" s="56"/>
      <c r="AW248" s="56"/>
      <c r="AX248" s="56"/>
      <c r="AY248" s="56"/>
      <c r="AZ248" s="56"/>
      <c r="BA248" s="56"/>
      <c r="BB248" s="56"/>
      <c r="BC248" s="56"/>
      <c r="BD248" s="56"/>
      <c r="BE248" s="56"/>
      <c r="BF248" s="56"/>
      <c r="BG248" s="56"/>
      <c r="BH248" s="56"/>
      <c r="BI248" s="56"/>
      <c r="BJ248" s="56"/>
      <c r="BK248" s="56"/>
      <c r="BL248" s="56"/>
      <c r="BM248" s="56"/>
    </row>
    <row r="249" spans="1:65" ht="15" customHeight="1" x14ac:dyDescent="0.35">
      <c r="A249" s="56"/>
      <c r="B249" s="300"/>
      <c r="C249" s="300"/>
      <c r="D249" s="301"/>
      <c r="E249" s="289"/>
      <c r="F249" s="290"/>
      <c r="G249" s="290"/>
      <c r="H249" s="290"/>
      <c r="I249" s="288"/>
      <c r="J249" s="115" t="str">
        <f>IF(AND('Mapa final'!$AB$133="Muy Baja",'Mapa final'!$AD$133="Leve"),CONCATENATE("R44C",'Mapa final'!$R$133),"")</f>
        <v/>
      </c>
      <c r="K249" s="54" t="str">
        <f>IF(AND('Mapa final'!$AB$134="Muy Baja",'Mapa final'!$AD$134="Leve"),CONCATENATE("R44C",'Mapa final'!$R$134),"")</f>
        <v/>
      </c>
      <c r="L249" s="116" t="str">
        <f>IF(AND('Mapa final'!$AB$135="Muy Baja",'Mapa final'!$AD$135="Leve"),CONCATENATE("R44C",'Mapa final'!$R$135),"")</f>
        <v/>
      </c>
      <c r="M249" s="115" t="str">
        <f>IF(AND('Mapa final'!$AB$133="Muy Baja",'Mapa final'!$AD$133="Menor"),CONCATENATE("R44C",'Mapa final'!$R$133),"")</f>
        <v/>
      </c>
      <c r="N249" s="54" t="str">
        <f>IF(AND('Mapa final'!$AB$134="Muy Baja",'Mapa final'!$AD$134="Menor"),CONCATENATE("R44C",'Mapa final'!$R$134),"")</f>
        <v/>
      </c>
      <c r="O249" s="116" t="str">
        <f>IF(AND('Mapa final'!$AB$135="Muy Baja",'Mapa final'!$AD$135="Menor"),CONCATENATE("R44C",'Mapa final'!$R$135),"")</f>
        <v/>
      </c>
      <c r="P249" s="49" t="str">
        <f>IF(AND('Mapa final'!$AB$133="Muy Baja",'Mapa final'!$AD$133="Moderado"),CONCATENATE("R44C",'Mapa final'!$R$133),"")</f>
        <v/>
      </c>
      <c r="Q249" s="50" t="str">
        <f>IF(AND('Mapa final'!$AB$134="Muy Baja",'Mapa final'!$AD$134="Moderado"),CONCATENATE("R44C",'Mapa final'!$R$134),"")</f>
        <v/>
      </c>
      <c r="R249" s="111" t="str">
        <f>IF(AND('Mapa final'!$AB$135="Muy Baja",'Mapa final'!$AD$135="Moderado"),CONCATENATE("R44C",'Mapa final'!$R$135),"")</f>
        <v/>
      </c>
      <c r="S249" s="105" t="str">
        <f>IF(AND('Mapa final'!$AB$133="Muy Baja",'Mapa final'!$AD$133="Mayor"),CONCATENATE("R44C",'Mapa final'!$R$133),"")</f>
        <v/>
      </c>
      <c r="T249" s="42" t="str">
        <f>IF(AND('Mapa final'!$AB$134="Muy Baja",'Mapa final'!$AD$134="Mayor"),CONCATENATE("R44C",'Mapa final'!$R$134),"")</f>
        <v/>
      </c>
      <c r="U249" s="106" t="str">
        <f>IF(AND('Mapa final'!$AB$135="Muy Baja",'Mapa final'!$AD$135="Mayor"),CONCATENATE("R44C",'Mapa final'!$R$135),"")</f>
        <v/>
      </c>
      <c r="V249" s="43" t="str">
        <f>IF(AND('Mapa final'!$AB$133="Muy Baja",'Mapa final'!$AD$133="Catastrófico"),CONCATENATE("R44C",'Mapa final'!$R$133),"")</f>
        <v/>
      </c>
      <c r="W249" s="44" t="str">
        <f>IF(AND('Mapa final'!$AB$134="Muy Baja",'Mapa final'!$AD$134="Catastrófico"),CONCATENATE("R44C",'Mapa final'!$R$134),"")</f>
        <v/>
      </c>
      <c r="X249" s="100" t="str">
        <f>IF(AND('Mapa final'!$AB$135="Muy Baja",'Mapa final'!$AD$135="Catastrófico"),CONCATENATE("R44C",'Mapa final'!$R$135),"")</f>
        <v/>
      </c>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c r="BB249" s="56"/>
      <c r="BC249" s="56"/>
      <c r="BD249" s="56"/>
      <c r="BE249" s="56"/>
      <c r="BF249" s="56"/>
      <c r="BG249" s="56"/>
      <c r="BH249" s="56"/>
      <c r="BI249" s="56"/>
      <c r="BJ249" s="56"/>
      <c r="BK249" s="56"/>
      <c r="BL249" s="56"/>
      <c r="BM249" s="56"/>
    </row>
    <row r="250" spans="1:65" ht="15" customHeight="1" x14ac:dyDescent="0.35">
      <c r="A250" s="56"/>
      <c r="B250" s="300"/>
      <c r="C250" s="300"/>
      <c r="D250" s="301"/>
      <c r="E250" s="289"/>
      <c r="F250" s="290"/>
      <c r="G250" s="290"/>
      <c r="H250" s="290"/>
      <c r="I250" s="288"/>
      <c r="J250" s="115" t="str">
        <f>IF(AND('Mapa final'!$AB$136="Muy Baja",'Mapa final'!$AD$136="Leve"),CONCATENATE("R45C",'Mapa final'!$R$136),"")</f>
        <v/>
      </c>
      <c r="K250" s="54" t="str">
        <f>IF(AND('Mapa final'!$AB$137="Muy Baja",'Mapa final'!$AD$137="Leve"),CONCATENATE("R45C",'Mapa final'!$R$137),"")</f>
        <v/>
      </c>
      <c r="L250" s="116" t="str">
        <f>IF(AND('Mapa final'!$AB$138="Muy Baja",'Mapa final'!$AD$138="Leve"),CONCATENATE("R45C",'Mapa final'!$R$138),"")</f>
        <v/>
      </c>
      <c r="M250" s="115" t="str">
        <f>IF(AND('Mapa final'!$AB$136="Muy Baja",'Mapa final'!$AD$136="Menor"),CONCATENATE("R45C",'Mapa final'!$R$136),"")</f>
        <v/>
      </c>
      <c r="N250" s="54" t="str">
        <f>IF(AND('Mapa final'!$AB$137="Muy Baja",'Mapa final'!$AD$137="Menor"),CONCATENATE("R45C",'Mapa final'!$R$137),"")</f>
        <v/>
      </c>
      <c r="O250" s="116" t="str">
        <f>IF(AND('Mapa final'!$AB$138="Muy Baja",'Mapa final'!$AD$138="Menor"),CONCATENATE("R45C",'Mapa final'!$R$138),"")</f>
        <v/>
      </c>
      <c r="P250" s="49" t="str">
        <f>IF(AND('Mapa final'!$AB$136="Muy Baja",'Mapa final'!$AD$136="Moderado"),CONCATENATE("R45C",'Mapa final'!$R$136),"")</f>
        <v/>
      </c>
      <c r="Q250" s="50" t="str">
        <f>IF(AND('Mapa final'!$AB$137="Muy Baja",'Mapa final'!$AD$137="Moderado"),CONCATENATE("R45C",'Mapa final'!$R$137),"")</f>
        <v/>
      </c>
      <c r="R250" s="111" t="str">
        <f>IF(AND('Mapa final'!$AB$138="Muy Baja",'Mapa final'!$AD$138="Moderado"),CONCATENATE("R45C",'Mapa final'!$R$138),"")</f>
        <v/>
      </c>
      <c r="S250" s="105" t="str">
        <f>IF(AND('Mapa final'!$AB$136="Muy Baja",'Mapa final'!$AD$136="Mayor"),CONCATENATE("R45C",'Mapa final'!$R$136),"")</f>
        <v/>
      </c>
      <c r="T250" s="42" t="str">
        <f>IF(AND('Mapa final'!$AB$137="Muy Baja",'Mapa final'!$AD$137="Mayor"),CONCATENATE("R45C",'Mapa final'!$R$137),"")</f>
        <v/>
      </c>
      <c r="U250" s="106" t="str">
        <f>IF(AND('Mapa final'!$AB$138="Muy Baja",'Mapa final'!$AD$138="Mayor"),CONCATENATE("R45C",'Mapa final'!$R$138),"")</f>
        <v/>
      </c>
      <c r="V250" s="43" t="str">
        <f>IF(AND('Mapa final'!$AB$136="Muy Baja",'Mapa final'!$AD$136="Catastrófico"),CONCATENATE("R45C",'Mapa final'!$R$136),"")</f>
        <v/>
      </c>
      <c r="W250" s="44" t="str">
        <f>IF(AND('Mapa final'!$AB$137="Muy Baja",'Mapa final'!$AD$137="Catastrófico"),CONCATENATE("R45C",'Mapa final'!$R$137),"")</f>
        <v/>
      </c>
      <c r="X250" s="100" t="str">
        <f>IF(AND('Mapa final'!$AB$138="Muy Baja",'Mapa final'!$AD$138="Catastrófico"),CONCATENATE("R45C",'Mapa final'!$R$138),"")</f>
        <v/>
      </c>
      <c r="Y250" s="56"/>
      <c r="Z250" s="56"/>
      <c r="AA250" s="56"/>
      <c r="AB250" s="56"/>
      <c r="AC250" s="56"/>
      <c r="AD250" s="56"/>
      <c r="AE250" s="56"/>
      <c r="AF250" s="56"/>
      <c r="AG250" s="56"/>
      <c r="AH250" s="56"/>
      <c r="AI250" s="56"/>
      <c r="AJ250" s="56"/>
      <c r="AK250" s="56"/>
      <c r="AL250" s="56"/>
      <c r="AM250" s="56"/>
      <c r="AN250" s="56"/>
      <c r="AO250" s="56"/>
      <c r="AP250" s="56"/>
      <c r="AQ250" s="56"/>
      <c r="AR250" s="56"/>
      <c r="AS250" s="56"/>
      <c r="AT250" s="56"/>
      <c r="AU250" s="56"/>
      <c r="AV250" s="56"/>
      <c r="AW250" s="56"/>
      <c r="AX250" s="56"/>
      <c r="AY250" s="56"/>
      <c r="AZ250" s="56"/>
      <c r="BA250" s="56"/>
      <c r="BB250" s="56"/>
      <c r="BC250" s="56"/>
      <c r="BD250" s="56"/>
      <c r="BE250" s="56"/>
      <c r="BF250" s="56"/>
      <c r="BG250" s="56"/>
      <c r="BH250" s="56"/>
      <c r="BI250" s="56"/>
      <c r="BJ250" s="56"/>
      <c r="BK250" s="56"/>
      <c r="BL250" s="56"/>
      <c r="BM250" s="56"/>
    </row>
    <row r="251" spans="1:65" ht="15" customHeight="1" x14ac:dyDescent="0.35">
      <c r="A251" s="56"/>
      <c r="B251" s="300"/>
      <c r="C251" s="300"/>
      <c r="D251" s="301"/>
      <c r="E251" s="289"/>
      <c r="F251" s="290"/>
      <c r="G251" s="290"/>
      <c r="H251" s="290"/>
      <c r="I251" s="288"/>
      <c r="J251" s="115" t="str">
        <f>IF(AND('Mapa final'!$AB$139="Muy Baja",'Mapa final'!$AD$139="Leve"),CONCATENATE("R46C",'Mapa final'!$R$139),"")</f>
        <v/>
      </c>
      <c r="K251" s="54" t="str">
        <f>IF(AND('Mapa final'!$AB$140="Muy Baja",'Mapa final'!$AD$140="Leve"),CONCATENATE("R46C",'Mapa final'!$R$140),"")</f>
        <v/>
      </c>
      <c r="L251" s="116" t="str">
        <f>IF(AND('Mapa final'!$AB$141="Muy Baja",'Mapa final'!$AD$141="Leve"),CONCATENATE("R46C",'Mapa final'!$R$141),"")</f>
        <v/>
      </c>
      <c r="M251" s="115" t="str">
        <f>IF(AND('Mapa final'!$AB$139="Muy Baja",'Mapa final'!$AD$139="Menor"),CONCATENATE("R46C",'Mapa final'!$R$139),"")</f>
        <v/>
      </c>
      <c r="N251" s="54" t="str">
        <f>IF(AND('Mapa final'!$AB$140="Muy Baja",'Mapa final'!$AD$140="Menor"),CONCATENATE("R46C",'Mapa final'!$R$140),"")</f>
        <v/>
      </c>
      <c r="O251" s="116" t="str">
        <f>IF(AND('Mapa final'!$AB$141="Muy Baja",'Mapa final'!$AD$141="Menor"),CONCATENATE("R46C",'Mapa final'!$R$141),"")</f>
        <v/>
      </c>
      <c r="P251" s="49" t="str">
        <f>IF(AND('Mapa final'!$AB$139="Muy Baja",'Mapa final'!$AD$139="Moderado"),CONCATENATE("R46C",'Mapa final'!$R$139),"")</f>
        <v/>
      </c>
      <c r="Q251" s="50" t="str">
        <f>IF(AND('Mapa final'!$AB$140="Muy Baja",'Mapa final'!$AD$140="Moderado"),CONCATENATE("R46C",'Mapa final'!$R$140),"")</f>
        <v/>
      </c>
      <c r="R251" s="111" t="str">
        <f>IF(AND('Mapa final'!$AB$141="Muy Baja",'Mapa final'!$AD$141="Moderado"),CONCATENATE("R46C",'Mapa final'!$R$141),"")</f>
        <v/>
      </c>
      <c r="S251" s="105" t="str">
        <f>IF(AND('Mapa final'!$AB$139="Muy Baja",'Mapa final'!$AD$139="Mayor"),CONCATENATE("R46C",'Mapa final'!$R$139),"")</f>
        <v/>
      </c>
      <c r="T251" s="42" t="str">
        <f>IF(AND('Mapa final'!$AB$140="Muy Baja",'Mapa final'!$AD$140="Mayor"),CONCATENATE("R46C",'Mapa final'!$R$140),"")</f>
        <v/>
      </c>
      <c r="U251" s="106" t="str">
        <f>IF(AND('Mapa final'!$AB$141="Muy Baja",'Mapa final'!$AD$141="Mayor"),CONCATENATE("R46C",'Mapa final'!$R$141),"")</f>
        <v/>
      </c>
      <c r="V251" s="43" t="str">
        <f>IF(AND('Mapa final'!$AB$139="Muy Baja",'Mapa final'!$AD$139="Catastrófico"),CONCATENATE("R46C",'Mapa final'!$R$139),"")</f>
        <v/>
      </c>
      <c r="W251" s="44" t="str">
        <f>IF(AND('Mapa final'!$AB$140="Muy Baja",'Mapa final'!$AD$140="Catastrófico"),CONCATENATE("R46C",'Mapa final'!$R$140),"")</f>
        <v/>
      </c>
      <c r="X251" s="100" t="str">
        <f>IF(AND('Mapa final'!$AB$141="Muy Baja",'Mapa final'!$AD$141="Catastrófico"),CONCATENATE("R46C",'Mapa final'!$R$141),"")</f>
        <v/>
      </c>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c r="AV251" s="56"/>
      <c r="AW251" s="56"/>
      <c r="AX251" s="56"/>
      <c r="AY251" s="56"/>
      <c r="AZ251" s="56"/>
      <c r="BA251" s="56"/>
      <c r="BB251" s="56"/>
      <c r="BC251" s="56"/>
      <c r="BD251" s="56"/>
      <c r="BE251" s="56"/>
      <c r="BF251" s="56"/>
      <c r="BG251" s="56"/>
      <c r="BH251" s="56"/>
      <c r="BI251" s="56"/>
      <c r="BJ251" s="56"/>
      <c r="BK251" s="56"/>
      <c r="BL251" s="56"/>
      <c r="BM251" s="56"/>
    </row>
    <row r="252" spans="1:65" ht="15" customHeight="1" x14ac:dyDescent="0.35">
      <c r="A252" s="56"/>
      <c r="B252" s="300"/>
      <c r="C252" s="300"/>
      <c r="D252" s="301"/>
      <c r="E252" s="289"/>
      <c r="F252" s="290"/>
      <c r="G252" s="290"/>
      <c r="H252" s="290"/>
      <c r="I252" s="288"/>
      <c r="J252" s="115" t="str">
        <f>IF(AND('Mapa final'!$AB$142="Muy Baja",'Mapa final'!$AD$142="Leve"),CONCATENATE("R47C",'Mapa final'!$R$142),"")</f>
        <v/>
      </c>
      <c r="K252" s="54" t="str">
        <f>IF(AND('Mapa final'!$AB$143="Muy Baja",'Mapa final'!$AD$143="Leve"),CONCATENATE("R47C",'Mapa final'!$R$143),"")</f>
        <v/>
      </c>
      <c r="L252" s="116" t="str">
        <f>IF(AND('Mapa final'!$AB$144="Muy Baja",'Mapa final'!$AD$144="Leve"),CONCATENATE("R47C",'Mapa final'!$R$144),"")</f>
        <v/>
      </c>
      <c r="M252" s="115" t="str">
        <f>IF(AND('Mapa final'!$AB$142="Muy Baja",'Mapa final'!$AD$142="Menor"),CONCATENATE("R47C",'Mapa final'!$R$142),"")</f>
        <v/>
      </c>
      <c r="N252" s="54" t="str">
        <f>IF(AND('Mapa final'!$AB$143="Muy Baja",'Mapa final'!$AD$143="Menor"),CONCATENATE("R47C",'Mapa final'!$R$143),"")</f>
        <v/>
      </c>
      <c r="O252" s="116" t="str">
        <f>IF(AND('Mapa final'!$AB$144="Muy Baja",'Mapa final'!$AD$144="Menor"),CONCATENATE("R47C",'Mapa final'!$R$144),"")</f>
        <v/>
      </c>
      <c r="P252" s="49" t="str">
        <f>IF(AND('Mapa final'!$AB$142="Muy Baja",'Mapa final'!$AD$142="Moderado"),CONCATENATE("R47C",'Mapa final'!$R$142),"")</f>
        <v/>
      </c>
      <c r="Q252" s="50" t="str">
        <f>IF(AND('Mapa final'!$AB$143="Muy Baja",'Mapa final'!$AD$143="Moderado"),CONCATENATE("R47C",'Mapa final'!$R$143),"")</f>
        <v/>
      </c>
      <c r="R252" s="111" t="str">
        <f>IF(AND('Mapa final'!$AB$144="Muy Baja",'Mapa final'!$AD$144="Moderado"),CONCATENATE("R47C",'Mapa final'!$R$144),"")</f>
        <v/>
      </c>
      <c r="S252" s="105" t="str">
        <f>IF(AND('Mapa final'!$AB$142="Muy Baja",'Mapa final'!$AD$142="Mayor"),CONCATENATE("R47C",'Mapa final'!$R$142),"")</f>
        <v/>
      </c>
      <c r="T252" s="42" t="str">
        <f>IF(AND('Mapa final'!$AB$143="Muy Baja",'Mapa final'!$AD$143="Mayor"),CONCATENATE("R47C",'Mapa final'!$R$143),"")</f>
        <v/>
      </c>
      <c r="U252" s="106" t="str">
        <f>IF(AND('Mapa final'!$AB$144="Muy Baja",'Mapa final'!$AD$144="Mayor"),CONCATENATE("R47C",'Mapa final'!$R$144),"")</f>
        <v/>
      </c>
      <c r="V252" s="43" t="str">
        <f>IF(AND('Mapa final'!$AB$142="Muy Baja",'Mapa final'!$AD$142="Catastrófico"),CONCATENATE("R47C",'Mapa final'!$R$142),"")</f>
        <v/>
      </c>
      <c r="W252" s="44" t="str">
        <f>IF(AND('Mapa final'!$AB$143="Muy Baja",'Mapa final'!$AD$143="Catastrófico"),CONCATENATE("R47C",'Mapa final'!$R$143),"")</f>
        <v/>
      </c>
      <c r="X252" s="100" t="str">
        <f>IF(AND('Mapa final'!$AB$144="Muy Baja",'Mapa final'!$AD$144="Catastrófico"),CONCATENATE("R47C",'Mapa final'!$R$144),"")</f>
        <v/>
      </c>
      <c r="Y252" s="56"/>
      <c r="Z252" s="56"/>
      <c r="AA252" s="56"/>
      <c r="AB252" s="56"/>
      <c r="AC252" s="56"/>
      <c r="AD252" s="56"/>
      <c r="AE252" s="56"/>
      <c r="AF252" s="56"/>
      <c r="AG252" s="56"/>
      <c r="AH252" s="56"/>
      <c r="AI252" s="56"/>
      <c r="AJ252" s="56"/>
      <c r="AK252" s="56"/>
      <c r="AL252" s="56"/>
      <c r="AM252" s="56"/>
      <c r="AN252" s="56"/>
      <c r="AO252" s="56"/>
      <c r="AP252" s="56"/>
      <c r="AQ252" s="56"/>
      <c r="AR252" s="56"/>
      <c r="AS252" s="56"/>
      <c r="AT252" s="56"/>
      <c r="AU252" s="56"/>
      <c r="AV252" s="56"/>
      <c r="AW252" s="56"/>
      <c r="AX252" s="56"/>
      <c r="AY252" s="56"/>
      <c r="AZ252" s="56"/>
      <c r="BA252" s="56"/>
      <c r="BB252" s="56"/>
      <c r="BC252" s="56"/>
      <c r="BD252" s="56"/>
      <c r="BE252" s="56"/>
      <c r="BF252" s="56"/>
      <c r="BG252" s="56"/>
      <c r="BH252" s="56"/>
      <c r="BI252" s="56"/>
      <c r="BJ252" s="56"/>
      <c r="BK252" s="56"/>
      <c r="BL252" s="56"/>
      <c r="BM252" s="56"/>
    </row>
    <row r="253" spans="1:65" ht="15" customHeight="1" x14ac:dyDescent="0.35">
      <c r="A253" s="56"/>
      <c r="B253" s="300"/>
      <c r="C253" s="300"/>
      <c r="D253" s="301"/>
      <c r="E253" s="289"/>
      <c r="F253" s="290"/>
      <c r="G253" s="290"/>
      <c r="H253" s="290"/>
      <c r="I253" s="288"/>
      <c r="J253" s="115" t="str">
        <f>IF(AND('Mapa final'!$AB$145="Muy Baja",'Mapa final'!$AD$145="Leve"),CONCATENATE("R48C",'Mapa final'!$R$145),"")</f>
        <v/>
      </c>
      <c r="K253" s="54" t="str">
        <f>IF(AND('Mapa final'!$AB$146="Muy Baja",'Mapa final'!$AD$146="Leve"),CONCATENATE("R48C",'Mapa final'!$R$146),"")</f>
        <v/>
      </c>
      <c r="L253" s="116" t="str">
        <f>IF(AND('Mapa final'!$AB$147="Muy Baja",'Mapa final'!$AD$147="Leve"),CONCATENATE("R48C",'Mapa final'!$R$147),"")</f>
        <v/>
      </c>
      <c r="M253" s="115" t="str">
        <f>IF(AND('Mapa final'!$AB$145="Muy Baja",'Mapa final'!$AD$145="Menor"),CONCATENATE("R48C",'Mapa final'!$R$145),"")</f>
        <v/>
      </c>
      <c r="N253" s="54" t="str">
        <f>IF(AND('Mapa final'!$AB$146="Muy Baja",'Mapa final'!$AD$146="Menor"),CONCATENATE("R48C",'Mapa final'!$R$146),"")</f>
        <v/>
      </c>
      <c r="O253" s="116" t="str">
        <f>IF(AND('Mapa final'!$AB$147="Muy Baja",'Mapa final'!$AD$147="Menor"),CONCATENATE("R48C",'Mapa final'!$R$147),"")</f>
        <v/>
      </c>
      <c r="P253" s="49" t="str">
        <f>IF(AND('Mapa final'!$AB$145="Muy Baja",'Mapa final'!$AD$145="Moderado"),CONCATENATE("R48C",'Mapa final'!$R$145),"")</f>
        <v/>
      </c>
      <c r="Q253" s="50" t="str">
        <f>IF(AND('Mapa final'!$AB$146="Muy Baja",'Mapa final'!$AD$146="Moderado"),CONCATENATE("R48C",'Mapa final'!$R$146),"")</f>
        <v/>
      </c>
      <c r="R253" s="111" t="str">
        <f>IF(AND('Mapa final'!$AB$147="Muy Baja",'Mapa final'!$AD$147="Moderado"),CONCATENATE("R48C",'Mapa final'!$R$147),"")</f>
        <v/>
      </c>
      <c r="S253" s="105" t="str">
        <f>IF(AND('Mapa final'!$AB$145="Muy Baja",'Mapa final'!$AD$145="Mayor"),CONCATENATE("R48C",'Mapa final'!$R$145),"")</f>
        <v/>
      </c>
      <c r="T253" s="42" t="str">
        <f>IF(AND('Mapa final'!$AB$146="Muy Baja",'Mapa final'!$AD$146="Mayor"),CONCATENATE("R48C",'Mapa final'!$R$146),"")</f>
        <v/>
      </c>
      <c r="U253" s="106" t="str">
        <f>IF(AND('Mapa final'!$AB$147="Muy Baja",'Mapa final'!$AD$147="Mayor"),CONCATENATE("R48C",'Mapa final'!$R$147),"")</f>
        <v/>
      </c>
      <c r="V253" s="43" t="str">
        <f>IF(AND('Mapa final'!$AB$145="Muy Baja",'Mapa final'!$AD$145="Catastrófico"),CONCATENATE("R48C",'Mapa final'!$R$145),"")</f>
        <v/>
      </c>
      <c r="W253" s="44" t="str">
        <f>IF(AND('Mapa final'!$AB$146="Muy Baja",'Mapa final'!$AD$146="Catastrófico"),CONCATENATE("R48C",'Mapa final'!$R$146),"")</f>
        <v/>
      </c>
      <c r="X253" s="100" t="str">
        <f>IF(AND('Mapa final'!$AB$147="Muy Baja",'Mapa final'!$AD$147="Catastrófico"),CONCATENATE("R48C",'Mapa final'!$R$147),"")</f>
        <v/>
      </c>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c r="BA253" s="56"/>
      <c r="BB253" s="56"/>
      <c r="BC253" s="56"/>
      <c r="BD253" s="56"/>
      <c r="BE253" s="56"/>
      <c r="BF253" s="56"/>
      <c r="BG253" s="56"/>
      <c r="BH253" s="56"/>
      <c r="BI253" s="56"/>
      <c r="BJ253" s="56"/>
      <c r="BK253" s="56"/>
      <c r="BL253" s="56"/>
      <c r="BM253" s="56"/>
    </row>
    <row r="254" spans="1:65" ht="15" customHeight="1" x14ac:dyDescent="0.35">
      <c r="A254" s="56"/>
      <c r="B254" s="300"/>
      <c r="C254" s="300"/>
      <c r="D254" s="301"/>
      <c r="E254" s="289"/>
      <c r="F254" s="290"/>
      <c r="G254" s="290"/>
      <c r="H254" s="290"/>
      <c r="I254" s="288"/>
      <c r="J254" s="115" t="str">
        <f>IF(AND('Mapa final'!$AB$148="Muy Baja",'Mapa final'!$AD$148="Leve"),CONCATENATE("R49C",'Mapa final'!$R$148),"")</f>
        <v/>
      </c>
      <c r="K254" s="54" t="str">
        <f>IF(AND('Mapa final'!$AB$149="Muy Baja",'Mapa final'!$AD$149="Leve"),CONCATENATE("R49C",'Mapa final'!$R$149),"")</f>
        <v/>
      </c>
      <c r="L254" s="116" t="str">
        <f>IF(AND('Mapa final'!$AB$150="Muy Baja",'Mapa final'!$AD$150="Leve"),CONCATENATE("R49C",'Mapa final'!$R$150),"")</f>
        <v/>
      </c>
      <c r="M254" s="115" t="str">
        <f>IF(AND('Mapa final'!$AB$148="Muy Baja",'Mapa final'!$AD$148="Menor"),CONCATENATE("R49C",'Mapa final'!$R$148),"")</f>
        <v/>
      </c>
      <c r="N254" s="54" t="str">
        <f>IF(AND('Mapa final'!$AB$149="Muy Baja",'Mapa final'!$AD$149="Menor"),CONCATENATE("R49C",'Mapa final'!$R$149),"")</f>
        <v/>
      </c>
      <c r="O254" s="116" t="str">
        <f>IF(AND('Mapa final'!$AB$150="Muy Baja",'Mapa final'!$AD$150="Menor"),CONCATENATE("R49C",'Mapa final'!$R$150),"")</f>
        <v/>
      </c>
      <c r="P254" s="49" t="str">
        <f>IF(AND('Mapa final'!$AB$148="Muy Baja",'Mapa final'!$AD$148="Moderado"),CONCATENATE("R49C",'Mapa final'!$R$148),"")</f>
        <v/>
      </c>
      <c r="Q254" s="50" t="str">
        <f>IF(AND('Mapa final'!$AB$149="Muy Baja",'Mapa final'!$AD$149="Moderado"),CONCATENATE("R49C",'Mapa final'!$R$149),"")</f>
        <v/>
      </c>
      <c r="R254" s="111" t="str">
        <f>IF(AND('Mapa final'!$AB$150="Muy Baja",'Mapa final'!$AD$150="Moderado"),CONCATENATE("R49C",'Mapa final'!$R$150),"")</f>
        <v/>
      </c>
      <c r="S254" s="105" t="str">
        <f>IF(AND('Mapa final'!$AB$148="Muy Baja",'Mapa final'!$AD$148="Mayor"),CONCATENATE("R49C",'Mapa final'!$R$148),"")</f>
        <v/>
      </c>
      <c r="T254" s="42" t="str">
        <f>IF(AND('Mapa final'!$AB$149="Muy Baja",'Mapa final'!$AD$149="Mayor"),CONCATENATE("R49C",'Mapa final'!$R$149),"")</f>
        <v/>
      </c>
      <c r="U254" s="106" t="str">
        <f>IF(AND('Mapa final'!$AB$150="Muy Baja",'Mapa final'!$AD$150="Mayor"),CONCATENATE("R49C",'Mapa final'!$R$150),"")</f>
        <v/>
      </c>
      <c r="V254" s="43" t="str">
        <f>IF(AND('Mapa final'!$AB$148="Muy Baja",'Mapa final'!$AD$148="Catastrófico"),CONCATENATE("R49C",'Mapa final'!$R$148),"")</f>
        <v/>
      </c>
      <c r="W254" s="44" t="str">
        <f>IF(AND('Mapa final'!$AB$149="Muy Baja",'Mapa final'!$AD$149="Catastrófico"),CONCATENATE("R49C",'Mapa final'!$R$149),"")</f>
        <v/>
      </c>
      <c r="X254" s="100" t="str">
        <f>IF(AND('Mapa final'!$AB$150="Muy Baja",'Mapa final'!$AD$150="Catastrófico"),CONCATENATE("R49C",'Mapa final'!$R$150),"")</f>
        <v/>
      </c>
      <c r="Y254" s="56"/>
      <c r="Z254" s="56"/>
      <c r="AA254" s="56"/>
      <c r="AB254" s="56"/>
      <c r="AC254" s="56"/>
      <c r="AD254" s="56"/>
      <c r="AE254" s="56"/>
      <c r="AF254" s="56"/>
      <c r="AG254" s="56"/>
      <c r="AH254" s="56"/>
      <c r="AI254" s="56"/>
      <c r="AJ254" s="56"/>
      <c r="AK254" s="56"/>
      <c r="AL254" s="56"/>
      <c r="AM254" s="56"/>
      <c r="AN254" s="56"/>
      <c r="AO254" s="56"/>
      <c r="AP254" s="56"/>
      <c r="AQ254" s="56"/>
      <c r="AR254" s="56"/>
      <c r="AS254" s="56"/>
      <c r="AT254" s="56"/>
      <c r="AU254" s="56"/>
      <c r="AV254" s="56"/>
      <c r="AW254" s="56"/>
      <c r="AX254" s="56"/>
      <c r="AY254" s="56"/>
      <c r="AZ254" s="56"/>
      <c r="BA254" s="56"/>
      <c r="BB254" s="56"/>
      <c r="BC254" s="56"/>
      <c r="BD254" s="56"/>
      <c r="BE254" s="56"/>
      <c r="BF254" s="56"/>
      <c r="BG254" s="56"/>
      <c r="BH254" s="56"/>
      <c r="BI254" s="56"/>
      <c r="BJ254" s="56"/>
      <c r="BK254" s="56"/>
      <c r="BL254" s="56"/>
      <c r="BM254" s="56"/>
    </row>
    <row r="255" spans="1:65" ht="15" customHeight="1" thickBot="1" x14ac:dyDescent="0.4">
      <c r="A255" s="56"/>
      <c r="B255" s="300"/>
      <c r="C255" s="300"/>
      <c r="D255" s="301"/>
      <c r="E255" s="289"/>
      <c r="F255" s="290"/>
      <c r="G255" s="290"/>
      <c r="H255" s="290"/>
      <c r="I255" s="288"/>
      <c r="J255" s="117" t="str">
        <f>IF(AND('Mapa final'!$AB$151="Muy Baja",'Mapa final'!$AD$151="Leve"),CONCATENATE("R50C",'Mapa final'!$R$151),"")</f>
        <v/>
      </c>
      <c r="K255" s="55" t="str">
        <f>IF(AND('Mapa final'!$AB$152="Muy Baja",'Mapa final'!$AD$152="Leve"),CONCATENATE("R50C",'Mapa final'!$R$152),"")</f>
        <v/>
      </c>
      <c r="L255" s="118" t="str">
        <f>IF(AND('Mapa final'!$AB$153="Muy Baja",'Mapa final'!$AD$153="Leve"),CONCATENATE("R50C",'Mapa final'!$R$153),"")</f>
        <v/>
      </c>
      <c r="M255" s="117" t="str">
        <f>IF(AND('Mapa final'!$AB$151="Muy Baja",'Mapa final'!$AD$151="Menor"),CONCATENATE("R50C",'Mapa final'!$R$151),"")</f>
        <v/>
      </c>
      <c r="N255" s="55" t="str">
        <f>IF(AND('Mapa final'!$AB$152="Muy Baja",'Mapa final'!$AD$152="Menor"),CONCATENATE("R50C",'Mapa final'!$R$152),"")</f>
        <v/>
      </c>
      <c r="O255" s="118" t="str">
        <f>IF(AND('Mapa final'!$AB$153="Muy Baja",'Mapa final'!$AD$153="Menor"),CONCATENATE("R50C",'Mapa final'!$R$153),"")</f>
        <v/>
      </c>
      <c r="P255" s="51" t="str">
        <f>IF(AND('Mapa final'!$AB$151="Muy Baja",'Mapa final'!$AD$151="Moderado"),CONCATENATE("R50C",'Mapa final'!$R$151),"")</f>
        <v/>
      </c>
      <c r="Q255" s="52" t="str">
        <f>IF(AND('Mapa final'!$AB$152="Muy Baja",'Mapa final'!$AD$152="Moderado"),CONCATENATE("R50C",'Mapa final'!$R$152),"")</f>
        <v/>
      </c>
      <c r="R255" s="112" t="str">
        <f>IF(AND('Mapa final'!$AB$153="Muy Baja",'Mapa final'!$AD$153="Moderado"),CONCATENATE("R50C",'Mapa final'!$R$153),"")</f>
        <v/>
      </c>
      <c r="S255" s="107" t="str">
        <f>IF(AND('Mapa final'!$AB$151="Muy Baja",'Mapa final'!$AD$151="Mayor"),CONCATENATE("R50C",'Mapa final'!$R$151),"")</f>
        <v/>
      </c>
      <c r="T255" s="108" t="str">
        <f>IF(AND('Mapa final'!$AB$152="Muy Baja",'Mapa final'!$AD$152="Mayor"),CONCATENATE("R50C",'Mapa final'!$R$152),"")</f>
        <v/>
      </c>
      <c r="U255" s="109" t="str">
        <f>IF(AND('Mapa final'!$AB$153="Muy Baja",'Mapa final'!$AD$153="Mayor"),CONCATENATE("R50C",'Mapa final'!$R$153),"")</f>
        <v/>
      </c>
      <c r="V255" s="45" t="str">
        <f>IF(AND('Mapa final'!$AB$151="Muy Baja",'Mapa final'!$AD$151="Catastrófico"),CONCATENATE("R50C",'Mapa final'!$R$151),"")</f>
        <v/>
      </c>
      <c r="W255" s="46" t="str">
        <f>IF(AND('Mapa final'!$AB$152="Muy Baja",'Mapa final'!$AD$152="Catastrófico"),CONCATENATE("R50C",'Mapa final'!$R$152),"")</f>
        <v/>
      </c>
      <c r="X255" s="101" t="str">
        <f>IF(AND('Mapa final'!$AB$153="Muy Baja",'Mapa final'!$AD$153="Catastrófico"),CONCATENATE("R50C",'Mapa final'!$R$153),"")</f>
        <v/>
      </c>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c r="AZ255" s="56"/>
      <c r="BA255" s="56"/>
      <c r="BB255" s="56"/>
      <c r="BC255" s="56"/>
      <c r="BD255" s="56"/>
      <c r="BE255" s="56"/>
      <c r="BF255" s="56"/>
      <c r="BG255" s="56"/>
      <c r="BH255" s="56"/>
      <c r="BI255" s="56"/>
      <c r="BJ255" s="56"/>
      <c r="BK255" s="56"/>
      <c r="BL255" s="56"/>
      <c r="BM255" s="56"/>
    </row>
    <row r="256" spans="1:65" x14ac:dyDescent="0.35">
      <c r="A256" s="56"/>
      <c r="B256" s="56"/>
      <c r="C256" s="56"/>
      <c r="D256" s="56"/>
      <c r="E256" s="56"/>
      <c r="F256" s="56"/>
      <c r="G256" s="56"/>
      <c r="H256" s="56"/>
      <c r="I256" s="56"/>
      <c r="J256" s="314" t="s">
        <v>103</v>
      </c>
      <c r="K256" s="288"/>
      <c r="L256" s="288"/>
      <c r="M256" s="287" t="s">
        <v>102</v>
      </c>
      <c r="N256" s="288"/>
      <c r="O256" s="288"/>
      <c r="P256" s="287" t="s">
        <v>101</v>
      </c>
      <c r="Q256" s="288"/>
      <c r="R256" s="288"/>
      <c r="S256" s="287" t="s">
        <v>100</v>
      </c>
      <c r="T256" s="319"/>
      <c r="U256" s="288"/>
      <c r="V256" s="287" t="s">
        <v>99</v>
      </c>
      <c r="W256" s="288"/>
      <c r="X256" s="320"/>
      <c r="Y256" s="56"/>
      <c r="Z256" s="56"/>
      <c r="AA256" s="56"/>
      <c r="AB256" s="56"/>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c r="BA256" s="56"/>
      <c r="BB256" s="56"/>
      <c r="BC256" s="56"/>
      <c r="BD256" s="56"/>
      <c r="BE256" s="56"/>
      <c r="BF256" s="56"/>
      <c r="BG256" s="56"/>
      <c r="BH256" s="56"/>
      <c r="BI256" s="56"/>
      <c r="BJ256" s="56"/>
      <c r="BK256" s="56"/>
      <c r="BL256" s="56"/>
      <c r="BM256" s="56"/>
    </row>
    <row r="257" spans="1:65" x14ac:dyDescent="0.35">
      <c r="A257" s="56"/>
      <c r="B257" s="56"/>
      <c r="C257" s="56"/>
      <c r="D257" s="56"/>
      <c r="E257" s="56"/>
      <c r="F257" s="56"/>
      <c r="G257" s="56"/>
      <c r="H257" s="56"/>
      <c r="I257" s="56"/>
      <c r="J257" s="315"/>
      <c r="K257" s="288"/>
      <c r="L257" s="288"/>
      <c r="M257" s="289"/>
      <c r="N257" s="288"/>
      <c r="O257" s="288"/>
      <c r="P257" s="289"/>
      <c r="Q257" s="288"/>
      <c r="R257" s="288"/>
      <c r="S257" s="289"/>
      <c r="T257" s="288"/>
      <c r="U257" s="288"/>
      <c r="V257" s="289"/>
      <c r="W257" s="288"/>
      <c r="X257" s="320"/>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c r="BA257" s="56"/>
      <c r="BB257" s="56"/>
      <c r="BC257" s="56"/>
      <c r="BD257" s="56"/>
      <c r="BE257" s="56"/>
      <c r="BF257" s="56"/>
      <c r="BG257" s="56"/>
      <c r="BH257" s="56"/>
      <c r="BI257" s="56"/>
      <c r="BJ257" s="56"/>
      <c r="BK257" s="56"/>
      <c r="BL257" s="56"/>
      <c r="BM257" s="56"/>
    </row>
    <row r="258" spans="1:65" x14ac:dyDescent="0.35">
      <c r="A258" s="56"/>
      <c r="B258" s="56"/>
      <c r="C258" s="56"/>
      <c r="D258" s="56"/>
      <c r="E258" s="56"/>
      <c r="F258" s="56"/>
      <c r="G258" s="56"/>
      <c r="H258" s="56"/>
      <c r="I258" s="56"/>
      <c r="J258" s="315"/>
      <c r="K258" s="288"/>
      <c r="L258" s="288"/>
      <c r="M258" s="289"/>
      <c r="N258" s="288"/>
      <c r="O258" s="288"/>
      <c r="P258" s="289"/>
      <c r="Q258" s="288"/>
      <c r="R258" s="288"/>
      <c r="S258" s="289"/>
      <c r="T258" s="288"/>
      <c r="U258" s="288"/>
      <c r="V258" s="289"/>
      <c r="W258" s="288"/>
      <c r="X258" s="320"/>
      <c r="Y258" s="56"/>
      <c r="Z258" s="56"/>
      <c r="AA258" s="56"/>
      <c r="AB258" s="56"/>
      <c r="AC258" s="56"/>
      <c r="AD258" s="56"/>
      <c r="AE258" s="56"/>
      <c r="AF258" s="56"/>
      <c r="AG258" s="56"/>
      <c r="AH258" s="56"/>
      <c r="AI258" s="56"/>
      <c r="AJ258" s="56"/>
      <c r="AK258" s="56"/>
      <c r="AL258" s="56"/>
      <c r="AM258" s="56"/>
      <c r="AN258" s="56"/>
      <c r="AO258" s="56"/>
      <c r="AP258" s="56"/>
      <c r="AQ258" s="56"/>
      <c r="AR258" s="56"/>
      <c r="AS258" s="56"/>
      <c r="AT258" s="56"/>
      <c r="AU258" s="56"/>
      <c r="AV258" s="56"/>
      <c r="AW258" s="56"/>
      <c r="AX258" s="56"/>
      <c r="AY258" s="56"/>
      <c r="AZ258" s="56"/>
      <c r="BA258" s="56"/>
      <c r="BB258" s="56"/>
      <c r="BC258" s="56"/>
      <c r="BD258" s="56"/>
      <c r="BE258" s="56"/>
      <c r="BF258" s="56"/>
      <c r="BG258" s="56"/>
      <c r="BH258" s="56"/>
      <c r="BI258" s="56"/>
      <c r="BJ258" s="56"/>
      <c r="BK258" s="56"/>
      <c r="BL258" s="56"/>
      <c r="BM258" s="56"/>
    </row>
    <row r="259" spans="1:65" x14ac:dyDescent="0.35">
      <c r="A259" s="56"/>
      <c r="B259" s="56"/>
      <c r="C259" s="56"/>
      <c r="D259" s="56"/>
      <c r="E259" s="56"/>
      <c r="F259" s="56"/>
      <c r="G259" s="56"/>
      <c r="H259" s="56"/>
      <c r="I259" s="56"/>
      <c r="J259" s="315"/>
      <c r="K259" s="288"/>
      <c r="L259" s="288"/>
      <c r="M259" s="289"/>
      <c r="N259" s="288"/>
      <c r="O259" s="288"/>
      <c r="P259" s="289"/>
      <c r="Q259" s="288"/>
      <c r="R259" s="288"/>
      <c r="S259" s="289"/>
      <c r="T259" s="288"/>
      <c r="U259" s="288"/>
      <c r="V259" s="289"/>
      <c r="W259" s="288"/>
      <c r="X259" s="320"/>
      <c r="Y259" s="56"/>
      <c r="Z259" s="56"/>
      <c r="AA259" s="56"/>
      <c r="AB259" s="56"/>
      <c r="AC259" s="56"/>
      <c r="AD259" s="56"/>
      <c r="AE259" s="56"/>
      <c r="AF259" s="56"/>
      <c r="AG259" s="56"/>
      <c r="AH259" s="56"/>
      <c r="AI259" s="56"/>
      <c r="AJ259" s="56"/>
      <c r="AK259" s="56"/>
      <c r="AL259" s="56"/>
      <c r="AM259" s="56"/>
      <c r="AN259" s="56"/>
      <c r="AO259" s="56"/>
      <c r="AP259" s="56"/>
      <c r="AQ259" s="56"/>
      <c r="AR259" s="56"/>
      <c r="AS259" s="56"/>
      <c r="AT259" s="56"/>
      <c r="AU259" s="56"/>
      <c r="AV259" s="56"/>
      <c r="AW259" s="56"/>
      <c r="AX259" s="56"/>
      <c r="AY259" s="56"/>
      <c r="AZ259" s="56"/>
      <c r="BA259" s="56"/>
      <c r="BB259" s="56"/>
      <c r="BC259" s="56"/>
      <c r="BD259" s="56"/>
      <c r="BE259" s="56"/>
      <c r="BF259" s="56"/>
      <c r="BG259" s="56"/>
      <c r="BH259" s="56"/>
      <c r="BI259" s="56"/>
      <c r="BJ259" s="56"/>
      <c r="BK259" s="56"/>
      <c r="BL259" s="56"/>
      <c r="BM259" s="56"/>
    </row>
    <row r="260" spans="1:65" x14ac:dyDescent="0.35">
      <c r="A260" s="56"/>
      <c r="B260" s="56"/>
      <c r="C260" s="56"/>
      <c r="D260" s="56"/>
      <c r="E260" s="56"/>
      <c r="F260" s="56"/>
      <c r="G260" s="56"/>
      <c r="H260" s="56"/>
      <c r="I260" s="56"/>
      <c r="J260" s="315"/>
      <c r="K260" s="288"/>
      <c r="L260" s="288"/>
      <c r="M260" s="289"/>
      <c r="N260" s="288"/>
      <c r="O260" s="288"/>
      <c r="P260" s="289"/>
      <c r="Q260" s="288"/>
      <c r="R260" s="288"/>
      <c r="S260" s="289"/>
      <c r="T260" s="288"/>
      <c r="U260" s="288"/>
      <c r="V260" s="289"/>
      <c r="W260" s="288"/>
      <c r="X260" s="320"/>
      <c r="Y260" s="56"/>
      <c r="Z260" s="56"/>
      <c r="AA260" s="56"/>
      <c r="AB260" s="56"/>
      <c r="AC260" s="56"/>
      <c r="AD260" s="56"/>
      <c r="AE260" s="56"/>
      <c r="AF260" s="56"/>
      <c r="AG260" s="56"/>
      <c r="AH260" s="56"/>
      <c r="AI260" s="56"/>
      <c r="AJ260" s="56"/>
      <c r="AK260" s="56"/>
      <c r="AL260" s="56"/>
      <c r="AM260" s="56"/>
      <c r="AN260" s="56"/>
      <c r="AO260" s="56"/>
      <c r="AP260" s="56"/>
      <c r="AQ260" s="56"/>
      <c r="AR260" s="56"/>
      <c r="AS260" s="56"/>
      <c r="AT260" s="56"/>
      <c r="AU260" s="56"/>
      <c r="AV260" s="56"/>
      <c r="AW260" s="56"/>
      <c r="AX260" s="56"/>
      <c r="AY260" s="56"/>
      <c r="AZ260" s="56"/>
      <c r="BA260" s="56"/>
      <c r="BB260" s="56"/>
      <c r="BC260" s="56"/>
      <c r="BD260" s="56"/>
      <c r="BE260" s="56"/>
      <c r="BF260" s="56"/>
      <c r="BG260" s="56"/>
      <c r="BH260" s="56"/>
      <c r="BI260" s="56"/>
      <c r="BJ260" s="56"/>
      <c r="BK260" s="56"/>
      <c r="BL260" s="56"/>
      <c r="BM260" s="56"/>
    </row>
    <row r="261" spans="1:65" ht="15" thickBot="1" x14ac:dyDescent="0.4">
      <c r="A261" s="56"/>
      <c r="B261" s="56"/>
      <c r="C261" s="56"/>
      <c r="D261" s="56"/>
      <c r="E261" s="56"/>
      <c r="F261" s="56"/>
      <c r="G261" s="56"/>
      <c r="H261" s="56"/>
      <c r="I261" s="56"/>
      <c r="J261" s="316"/>
      <c r="K261" s="317"/>
      <c r="L261" s="317"/>
      <c r="M261" s="318"/>
      <c r="N261" s="317"/>
      <c r="O261" s="317"/>
      <c r="P261" s="318"/>
      <c r="Q261" s="317"/>
      <c r="R261" s="317"/>
      <c r="S261" s="318"/>
      <c r="T261" s="317"/>
      <c r="U261" s="317"/>
      <c r="V261" s="318"/>
      <c r="W261" s="317"/>
      <c r="X261" s="321"/>
      <c r="Y261" s="56"/>
      <c r="Z261" s="56"/>
      <c r="AA261" s="56"/>
      <c r="AB261" s="56"/>
      <c r="AC261" s="56"/>
      <c r="AD261" s="56"/>
      <c r="AE261" s="56"/>
      <c r="AF261" s="56"/>
      <c r="AG261" s="56"/>
      <c r="AH261" s="56"/>
      <c r="AI261" s="56"/>
      <c r="AJ261" s="56"/>
      <c r="AK261" s="56"/>
      <c r="AL261" s="56"/>
      <c r="AM261" s="56"/>
      <c r="AN261" s="56"/>
      <c r="AO261" s="56"/>
      <c r="AP261" s="56"/>
      <c r="AQ261" s="56"/>
      <c r="AR261" s="56"/>
      <c r="AS261" s="56"/>
      <c r="AT261" s="56"/>
      <c r="AU261" s="56"/>
      <c r="AV261" s="56"/>
      <c r="AW261" s="56"/>
      <c r="AX261" s="56"/>
      <c r="AY261" s="56"/>
      <c r="AZ261" s="56"/>
      <c r="BA261" s="56"/>
      <c r="BB261" s="56"/>
      <c r="BC261" s="56"/>
      <c r="BD261" s="56"/>
      <c r="BE261" s="56"/>
      <c r="BF261" s="56"/>
      <c r="BG261" s="56"/>
      <c r="BH261" s="56"/>
      <c r="BI261" s="56"/>
      <c r="BJ261" s="56"/>
      <c r="BK261" s="56"/>
      <c r="BL261" s="56"/>
      <c r="BM261" s="56"/>
    </row>
    <row r="262" spans="1:65" x14ac:dyDescent="0.35">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row>
    <row r="263" spans="1:65" ht="15" customHeight="1" x14ac:dyDescent="0.35">
      <c r="A263" s="56"/>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56"/>
      <c r="AG263" s="56"/>
      <c r="AH263" s="56"/>
      <c r="AI263" s="56"/>
      <c r="AJ263" s="56"/>
      <c r="AK263" s="56"/>
      <c r="AL263" s="56"/>
      <c r="AM263" s="56"/>
      <c r="AN263" s="56"/>
      <c r="AO263" s="56"/>
      <c r="AP263" s="56"/>
      <c r="AQ263" s="56"/>
      <c r="AR263" s="56"/>
      <c r="AS263" s="56"/>
    </row>
    <row r="264" spans="1:65" ht="15" customHeight="1" x14ac:dyDescent="0.35">
      <c r="A264" s="56"/>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56"/>
      <c r="AG264" s="56"/>
      <c r="AH264" s="56"/>
      <c r="AI264" s="56"/>
      <c r="AJ264" s="56"/>
      <c r="AK264" s="56"/>
      <c r="AL264" s="56"/>
      <c r="AM264" s="56"/>
      <c r="AN264" s="56"/>
      <c r="AO264" s="56"/>
      <c r="AP264" s="56"/>
      <c r="AQ264" s="56"/>
      <c r="AR264" s="56"/>
      <c r="AS264" s="56"/>
    </row>
    <row r="265" spans="1:65" x14ac:dyDescent="0.35">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row>
    <row r="266" spans="1:65" x14ac:dyDescent="0.35">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row>
    <row r="267" spans="1:65" x14ac:dyDescent="0.35">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row>
    <row r="268" spans="1:65" x14ac:dyDescent="0.35">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row>
    <row r="269" spans="1:65" x14ac:dyDescent="0.35">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row>
    <row r="270" spans="1:65" x14ac:dyDescent="0.35">
      <c r="A270" s="56"/>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c r="AS270" s="56"/>
    </row>
    <row r="271" spans="1:65" x14ac:dyDescent="0.35">
      <c r="A271" s="56"/>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row>
    <row r="272" spans="1:65" x14ac:dyDescent="0.35">
      <c r="A272" s="56"/>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row>
    <row r="273" spans="1:45" x14ac:dyDescent="0.35">
      <c r="A273" s="56"/>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row>
    <row r="274" spans="1:45" x14ac:dyDescent="0.35">
      <c r="A274" s="56"/>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row>
    <row r="275" spans="1:45" x14ac:dyDescent="0.35">
      <c r="A275" s="56"/>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row>
    <row r="276" spans="1:45" x14ac:dyDescent="0.35">
      <c r="A276" s="56"/>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row>
    <row r="277" spans="1:45" x14ac:dyDescent="0.35">
      <c r="A277" s="56"/>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row>
    <row r="278" spans="1:45" x14ac:dyDescent="0.35">
      <c r="A278" s="56"/>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row>
    <row r="279" spans="1:45" x14ac:dyDescent="0.35">
      <c r="A279" s="56"/>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row>
    <row r="280" spans="1:45" x14ac:dyDescent="0.35">
      <c r="A280" s="56"/>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row>
    <row r="281" spans="1:45" x14ac:dyDescent="0.35">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row>
    <row r="282" spans="1:45" x14ac:dyDescent="0.35">
      <c r="A282" s="56"/>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c r="AS282" s="56"/>
    </row>
    <row r="283" spans="1:45" x14ac:dyDescent="0.35">
      <c r="A283" s="56"/>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row>
    <row r="284" spans="1:45" x14ac:dyDescent="0.35">
      <c r="A284" s="56"/>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c r="AS284" s="56"/>
    </row>
    <row r="285" spans="1:45" x14ac:dyDescent="0.35">
      <c r="A285" s="56"/>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row>
    <row r="286" spans="1:45" x14ac:dyDescent="0.35">
      <c r="A286" s="56"/>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c r="AS286" s="56"/>
    </row>
    <row r="287" spans="1:45" x14ac:dyDescent="0.35">
      <c r="A287" s="56"/>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c r="AS287" s="56"/>
    </row>
    <row r="288" spans="1:45" x14ac:dyDescent="0.35">
      <c r="A288" s="56"/>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c r="AS288" s="56"/>
    </row>
    <row r="289" spans="1:45" x14ac:dyDescent="0.35">
      <c r="A289" s="56"/>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row>
    <row r="290" spans="1:45" x14ac:dyDescent="0.35">
      <c r="A290" s="56"/>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c r="AS290" s="56"/>
    </row>
    <row r="291" spans="1:45" x14ac:dyDescent="0.35">
      <c r="A291" s="56"/>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row>
    <row r="292" spans="1:45" x14ac:dyDescent="0.35">
      <c r="A292" s="56"/>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row>
    <row r="293" spans="1:45" x14ac:dyDescent="0.35">
      <c r="A293" s="56"/>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c r="AS293" s="56"/>
    </row>
    <row r="294" spans="1:45" x14ac:dyDescent="0.35">
      <c r="A294" s="56"/>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row>
    <row r="295" spans="1:45" x14ac:dyDescent="0.35">
      <c r="A295" s="56"/>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row>
    <row r="296" spans="1:45" x14ac:dyDescent="0.35">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row>
    <row r="297" spans="1:45" x14ac:dyDescent="0.35">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row>
    <row r="298" spans="1:45" x14ac:dyDescent="0.35">
      <c r="A298" s="56"/>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c r="AS298" s="56"/>
    </row>
    <row r="299" spans="1:45" x14ac:dyDescent="0.35">
      <c r="A299" s="56"/>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row>
    <row r="300" spans="1:45" x14ac:dyDescent="0.35">
      <c r="A300" s="56"/>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c r="AS300" s="56"/>
    </row>
    <row r="301" spans="1:45" x14ac:dyDescent="0.35">
      <c r="A301" s="56"/>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row>
    <row r="302" spans="1:45" x14ac:dyDescent="0.35">
      <c r="A302" s="56"/>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c r="AS302" s="56"/>
    </row>
    <row r="303" spans="1:45" x14ac:dyDescent="0.35">
      <c r="A303" s="56"/>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c r="AS303" s="56"/>
    </row>
    <row r="304" spans="1:45" x14ac:dyDescent="0.35">
      <c r="A304" s="56"/>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c r="AS304" s="56"/>
    </row>
    <row r="305" spans="1:45" x14ac:dyDescent="0.35">
      <c r="A305" s="56"/>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c r="AS305" s="56"/>
    </row>
    <row r="306" spans="1:45" x14ac:dyDescent="0.35">
      <c r="A306" s="56"/>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row>
    <row r="307" spans="1:45" x14ac:dyDescent="0.35">
      <c r="A307" s="56"/>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row>
    <row r="308" spans="1:45" x14ac:dyDescent="0.35">
      <c r="A308" s="56"/>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c r="AS308" s="56"/>
    </row>
    <row r="309" spans="1:45" x14ac:dyDescent="0.35">
      <c r="A309" s="56"/>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row>
    <row r="310" spans="1:45" x14ac:dyDescent="0.35">
      <c r="A310" s="56"/>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row>
    <row r="311" spans="1:45" x14ac:dyDescent="0.35">
      <c r="A311" s="56"/>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row>
    <row r="312" spans="1:45" x14ac:dyDescent="0.35">
      <c r="A312" s="56"/>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row>
    <row r="313" spans="1:45" x14ac:dyDescent="0.35">
      <c r="A313" s="56"/>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row>
    <row r="314" spans="1:45" x14ac:dyDescent="0.35">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row>
    <row r="315" spans="1:45" x14ac:dyDescent="0.35">
      <c r="A315" s="56"/>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row>
    <row r="316" spans="1:45" x14ac:dyDescent="0.35">
      <c r="A316" s="56"/>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row>
    <row r="317" spans="1:45" x14ac:dyDescent="0.35">
      <c r="A317" s="56"/>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row>
    <row r="318" spans="1:45" x14ac:dyDescent="0.35">
      <c r="A318" s="56"/>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row>
    <row r="319" spans="1:45" x14ac:dyDescent="0.35">
      <c r="A319" s="56"/>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row>
    <row r="320" spans="1:45" x14ac:dyDescent="0.35">
      <c r="A320" s="56"/>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row>
    <row r="321" spans="1:45" x14ac:dyDescent="0.35">
      <c r="A321" s="56"/>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row>
    <row r="322" spans="1:45" x14ac:dyDescent="0.35">
      <c r="A322" s="56"/>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row>
    <row r="323" spans="1:45" x14ac:dyDescent="0.35">
      <c r="A323" s="56"/>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row>
    <row r="324" spans="1:45" x14ac:dyDescent="0.35">
      <c r="A324" s="56"/>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c r="AS324" s="56"/>
    </row>
    <row r="325" spans="1:45" x14ac:dyDescent="0.35">
      <c r="A325" s="56"/>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row>
    <row r="326" spans="1:45" x14ac:dyDescent="0.35">
      <c r="A326" s="56"/>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row>
    <row r="327" spans="1:45" x14ac:dyDescent="0.35">
      <c r="A327" s="56"/>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row>
    <row r="328" spans="1:45" x14ac:dyDescent="0.35">
      <c r="A328" s="56"/>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row>
    <row r="329" spans="1:45" x14ac:dyDescent="0.35">
      <c r="A329" s="56"/>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row>
    <row r="330" spans="1:45" x14ac:dyDescent="0.35">
      <c r="A330" s="56"/>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row>
    <row r="331" spans="1:45" x14ac:dyDescent="0.35">
      <c r="A331" s="56"/>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row>
    <row r="332" spans="1:45" x14ac:dyDescent="0.35">
      <c r="A332" s="56"/>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row>
    <row r="333" spans="1:45" x14ac:dyDescent="0.35">
      <c r="A333" s="56"/>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row>
    <row r="334" spans="1:45" x14ac:dyDescent="0.35">
      <c r="A334" s="56"/>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row>
    <row r="335" spans="1:45" x14ac:dyDescent="0.35">
      <c r="A335" s="56"/>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row>
    <row r="336" spans="1:45" x14ac:dyDescent="0.35">
      <c r="A336" s="56"/>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c r="AS336" s="56"/>
    </row>
    <row r="337" spans="1:45" x14ac:dyDescent="0.35">
      <c r="A337" s="56"/>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row>
    <row r="338" spans="1:45" x14ac:dyDescent="0.35">
      <c r="A338" s="56"/>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c r="AS338" s="56"/>
    </row>
    <row r="339" spans="1:45" x14ac:dyDescent="0.35">
      <c r="A339" s="56"/>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row>
    <row r="340" spans="1:45" x14ac:dyDescent="0.35">
      <c r="A340" s="56"/>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c r="AS340" s="56"/>
    </row>
    <row r="341" spans="1:45" x14ac:dyDescent="0.35">
      <c r="A341" s="56"/>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row>
    <row r="342" spans="1:45" x14ac:dyDescent="0.35">
      <c r="A342" s="56"/>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c r="AS342" s="56"/>
    </row>
    <row r="343" spans="1:45" x14ac:dyDescent="0.35">
      <c r="A343" s="56"/>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row>
    <row r="344" spans="1:45" x14ac:dyDescent="0.35">
      <c r="A344" s="56"/>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row>
    <row r="345" spans="1:45" x14ac:dyDescent="0.35">
      <c r="A345" s="56"/>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row>
    <row r="346" spans="1:45" x14ac:dyDescent="0.35">
      <c r="A346" s="56"/>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row>
    <row r="347" spans="1:45" x14ac:dyDescent="0.35">
      <c r="A347" s="56"/>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row>
    <row r="348" spans="1:45" x14ac:dyDescent="0.35">
      <c r="A348" s="56"/>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c r="AS348" s="56"/>
    </row>
    <row r="349" spans="1:45" x14ac:dyDescent="0.35">
      <c r="A349" s="56"/>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row>
    <row r="350" spans="1:45" x14ac:dyDescent="0.35">
      <c r="A350" s="56"/>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row>
    <row r="351" spans="1:45" x14ac:dyDescent="0.35">
      <c r="A351" s="56"/>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row>
    <row r="352" spans="1:45" x14ac:dyDescent="0.35">
      <c r="A352" s="56"/>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row>
    <row r="353" spans="1:45" x14ac:dyDescent="0.35">
      <c r="A353" s="56"/>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row>
    <row r="354" spans="1:45" x14ac:dyDescent="0.35">
      <c r="A354" s="56"/>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c r="AS354" s="56"/>
    </row>
    <row r="355" spans="1:45" x14ac:dyDescent="0.35">
      <c r="A355" s="56"/>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c r="AS355" s="56"/>
    </row>
    <row r="356" spans="1:45" x14ac:dyDescent="0.35">
      <c r="A356" s="56"/>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row>
    <row r="357" spans="1:45" x14ac:dyDescent="0.35">
      <c r="A357" s="56"/>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row>
    <row r="358" spans="1:45" x14ac:dyDescent="0.35">
      <c r="A358" s="56"/>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row>
    <row r="359" spans="1:45" x14ac:dyDescent="0.35">
      <c r="A359" s="56"/>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row>
    <row r="360" spans="1:45" x14ac:dyDescent="0.35">
      <c r="A360" s="56"/>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c r="AS360" s="56"/>
    </row>
    <row r="361" spans="1:45" x14ac:dyDescent="0.35">
      <c r="A361" s="56"/>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row>
    <row r="362" spans="1:45" x14ac:dyDescent="0.35">
      <c r="A362" s="56"/>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c r="AS362" s="56"/>
    </row>
    <row r="363" spans="1:45" x14ac:dyDescent="0.35">
      <c r="A363" s="56"/>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row>
    <row r="364" spans="1:45" x14ac:dyDescent="0.35">
      <c r="A364" s="56"/>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row>
    <row r="365" spans="1:45" x14ac:dyDescent="0.35">
      <c r="A365" s="56"/>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c r="AS365" s="56"/>
    </row>
    <row r="366" spans="1:45" x14ac:dyDescent="0.35">
      <c r="A366" s="56"/>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row>
    <row r="367" spans="1:45" x14ac:dyDescent="0.35">
      <c r="A367" s="56"/>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c r="AS367" s="56"/>
    </row>
    <row r="368" spans="1:45" x14ac:dyDescent="0.35">
      <c r="A368" s="56"/>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c r="AS368" s="56"/>
    </row>
    <row r="369" spans="1:45" x14ac:dyDescent="0.35">
      <c r="A369" s="56"/>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c r="AS369" s="56"/>
    </row>
    <row r="370" spans="1:45" x14ac:dyDescent="0.35">
      <c r="A370" s="56"/>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c r="AS370" s="56"/>
    </row>
    <row r="371" spans="1:45" x14ac:dyDescent="0.35">
      <c r="A371" s="56"/>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c r="AR371" s="56"/>
      <c r="AS371" s="56"/>
    </row>
    <row r="372" spans="1:45" x14ac:dyDescent="0.35">
      <c r="A372" s="56"/>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c r="AR372" s="56"/>
      <c r="AS372" s="56"/>
    </row>
    <row r="373" spans="1:45" x14ac:dyDescent="0.35">
      <c r="A373" s="56"/>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c r="AR373" s="56"/>
      <c r="AS373" s="56"/>
    </row>
    <row r="374" spans="1:45" x14ac:dyDescent="0.35">
      <c r="A374" s="56"/>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c r="AR374" s="56"/>
      <c r="AS374" s="56"/>
    </row>
    <row r="375" spans="1:45" x14ac:dyDescent="0.35">
      <c r="A375" s="56"/>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c r="AR375" s="56"/>
      <c r="AS375" s="56"/>
    </row>
    <row r="376" spans="1:45" x14ac:dyDescent="0.35">
      <c r="A376" s="56"/>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c r="AS376" s="56"/>
    </row>
    <row r="377" spans="1:45" x14ac:dyDescent="0.35">
      <c r="A377" s="56"/>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c r="AA377" s="56"/>
      <c r="AB377" s="56"/>
      <c r="AC377" s="56"/>
      <c r="AD377" s="56"/>
      <c r="AE377" s="56"/>
      <c r="AF377" s="56"/>
      <c r="AG377" s="56"/>
      <c r="AH377" s="56"/>
      <c r="AI377" s="56"/>
      <c r="AJ377" s="56"/>
      <c r="AK377" s="56"/>
      <c r="AL377" s="56"/>
      <c r="AM377" s="56"/>
      <c r="AN377" s="56"/>
      <c r="AO377" s="56"/>
      <c r="AP377" s="56"/>
      <c r="AQ377" s="56"/>
      <c r="AR377" s="56"/>
      <c r="AS377" s="56"/>
    </row>
    <row r="378" spans="1:45" x14ac:dyDescent="0.35">
      <c r="A378" s="56"/>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c r="AA378" s="56"/>
      <c r="AB378" s="56"/>
      <c r="AC378" s="56"/>
      <c r="AD378" s="56"/>
      <c r="AE378" s="56"/>
      <c r="AF378" s="56"/>
      <c r="AG378" s="56"/>
      <c r="AH378" s="56"/>
      <c r="AI378" s="56"/>
      <c r="AJ378" s="56"/>
      <c r="AK378" s="56"/>
      <c r="AL378" s="56"/>
      <c r="AM378" s="56"/>
      <c r="AN378" s="56"/>
      <c r="AO378" s="56"/>
      <c r="AP378" s="56"/>
      <c r="AQ378" s="56"/>
      <c r="AR378" s="56"/>
      <c r="AS378" s="56"/>
    </row>
    <row r="379" spans="1:45" x14ac:dyDescent="0.35">
      <c r="A379" s="56"/>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c r="AA379" s="56"/>
      <c r="AB379" s="56"/>
      <c r="AC379" s="56"/>
      <c r="AD379" s="56"/>
      <c r="AE379" s="56"/>
      <c r="AF379" s="56"/>
      <c r="AG379" s="56"/>
      <c r="AH379" s="56"/>
      <c r="AI379" s="56"/>
      <c r="AJ379" s="56"/>
      <c r="AK379" s="56"/>
      <c r="AL379" s="56"/>
      <c r="AM379" s="56"/>
      <c r="AN379" s="56"/>
      <c r="AO379" s="56"/>
      <c r="AP379" s="56"/>
      <c r="AQ379" s="56"/>
      <c r="AR379" s="56"/>
      <c r="AS379" s="56"/>
    </row>
    <row r="380" spans="1:45" x14ac:dyDescent="0.35">
      <c r="A380" s="56"/>
      <c r="B380" s="56"/>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c r="AA380" s="56"/>
      <c r="AB380" s="56"/>
      <c r="AC380" s="56"/>
      <c r="AD380" s="56"/>
      <c r="AE380" s="56"/>
      <c r="AF380" s="56"/>
      <c r="AG380" s="56"/>
      <c r="AH380" s="56"/>
      <c r="AI380" s="56"/>
      <c r="AJ380" s="56"/>
      <c r="AK380" s="56"/>
      <c r="AL380" s="56"/>
      <c r="AM380" s="56"/>
      <c r="AN380" s="56"/>
      <c r="AO380" s="56"/>
      <c r="AP380" s="56"/>
      <c r="AQ380" s="56"/>
      <c r="AR380" s="56"/>
      <c r="AS380" s="56"/>
    </row>
    <row r="381" spans="1:45" x14ac:dyDescent="0.35">
      <c r="A381" s="56"/>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c r="AA381" s="56"/>
      <c r="AB381" s="56"/>
      <c r="AC381" s="56"/>
      <c r="AD381" s="56"/>
      <c r="AE381" s="56"/>
      <c r="AF381" s="56"/>
      <c r="AG381" s="56"/>
      <c r="AH381" s="56"/>
      <c r="AI381" s="56"/>
      <c r="AJ381" s="56"/>
      <c r="AK381" s="56"/>
      <c r="AL381" s="56"/>
      <c r="AM381" s="56"/>
      <c r="AN381" s="56"/>
      <c r="AO381" s="56"/>
      <c r="AP381" s="56"/>
      <c r="AQ381" s="56"/>
      <c r="AR381" s="56"/>
      <c r="AS381" s="56"/>
    </row>
    <row r="382" spans="1:45" x14ac:dyDescent="0.35">
      <c r="A382" s="56"/>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c r="AR382" s="56"/>
      <c r="AS382" s="56"/>
    </row>
    <row r="383" spans="1:45" x14ac:dyDescent="0.35">
      <c r="A383" s="56"/>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c r="AR383" s="56"/>
      <c r="AS383" s="56"/>
    </row>
    <row r="384" spans="1:45" x14ac:dyDescent="0.35">
      <c r="A384" s="56"/>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c r="AA384" s="56"/>
      <c r="AB384" s="56"/>
      <c r="AC384" s="56"/>
      <c r="AD384" s="56"/>
      <c r="AE384" s="56"/>
      <c r="AF384" s="56"/>
      <c r="AG384" s="56"/>
      <c r="AH384" s="56"/>
      <c r="AI384" s="56"/>
      <c r="AJ384" s="56"/>
      <c r="AK384" s="56"/>
      <c r="AL384" s="56"/>
      <c r="AM384" s="56"/>
      <c r="AN384" s="56"/>
      <c r="AO384" s="56"/>
      <c r="AP384" s="56"/>
      <c r="AQ384" s="56"/>
      <c r="AR384" s="56"/>
      <c r="AS384" s="56"/>
    </row>
    <row r="385" spans="1:45" x14ac:dyDescent="0.35">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c r="AR385" s="56"/>
      <c r="AS385" s="56"/>
    </row>
    <row r="386" spans="1:45" x14ac:dyDescent="0.35">
      <c r="A386" s="56"/>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c r="AR386" s="56"/>
      <c r="AS386" s="56"/>
    </row>
    <row r="387" spans="1:45" x14ac:dyDescent="0.35">
      <c r="A387" s="56"/>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c r="AR387" s="56"/>
      <c r="AS387" s="56"/>
    </row>
    <row r="388" spans="1:45" x14ac:dyDescent="0.35">
      <c r="A388" s="56"/>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6"/>
      <c r="AH388" s="56"/>
      <c r="AI388" s="56"/>
      <c r="AJ388" s="56"/>
      <c r="AK388" s="56"/>
      <c r="AL388" s="56"/>
      <c r="AM388" s="56"/>
      <c r="AN388" s="56"/>
      <c r="AO388" s="56"/>
      <c r="AP388" s="56"/>
      <c r="AQ388" s="56"/>
      <c r="AR388" s="56"/>
      <c r="AS388" s="56"/>
    </row>
    <row r="389" spans="1:45" x14ac:dyDescent="0.35">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c r="AR389" s="56"/>
      <c r="AS389" s="56"/>
    </row>
    <row r="390" spans="1:45" x14ac:dyDescent="0.35">
      <c r="A390" s="56"/>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c r="AR390" s="56"/>
      <c r="AS390" s="56"/>
    </row>
    <row r="391" spans="1:45" x14ac:dyDescent="0.35">
      <c r="A391" s="56"/>
      <c r="J391" s="56"/>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c r="AR391" s="56"/>
      <c r="AS391" s="56"/>
    </row>
    <row r="392" spans="1:45" x14ac:dyDescent="0.35">
      <c r="A392" s="56"/>
      <c r="J392" s="56"/>
      <c r="K392" s="56"/>
      <c r="L392" s="56"/>
      <c r="M392" s="56"/>
      <c r="N392" s="56"/>
      <c r="O392" s="56"/>
      <c r="P392" s="56"/>
      <c r="Q392" s="56"/>
      <c r="R392" s="56"/>
      <c r="S392" s="56"/>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c r="AR392" s="56"/>
      <c r="AS392" s="56"/>
    </row>
    <row r="393" spans="1:45" x14ac:dyDescent="0.35">
      <c r="A393" s="56"/>
      <c r="J393" s="56"/>
      <c r="K393" s="56"/>
      <c r="L393" s="56"/>
      <c r="M393" s="56"/>
      <c r="N393" s="56"/>
      <c r="O393" s="56"/>
      <c r="P393" s="56"/>
      <c r="Q393" s="56"/>
      <c r="R393" s="56"/>
      <c r="S393" s="56"/>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c r="AR393" s="56"/>
      <c r="AS393" s="56"/>
    </row>
    <row r="394" spans="1:45" x14ac:dyDescent="0.35">
      <c r="A394" s="56"/>
      <c r="J394" s="56"/>
      <c r="K394" s="56"/>
      <c r="L394" s="56"/>
      <c r="M394" s="56"/>
      <c r="N394" s="56"/>
      <c r="O394" s="56"/>
      <c r="P394" s="56"/>
      <c r="Q394" s="56"/>
      <c r="R394" s="56"/>
      <c r="S394" s="56"/>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c r="AR394" s="56"/>
      <c r="AS394" s="56"/>
    </row>
    <row r="395" spans="1:45" x14ac:dyDescent="0.35">
      <c r="A395" s="56"/>
      <c r="J395" s="56"/>
      <c r="K395" s="56"/>
      <c r="L395" s="56"/>
      <c r="M395" s="56"/>
      <c r="N395" s="56"/>
      <c r="O395" s="56"/>
      <c r="P395" s="56"/>
      <c r="Q395" s="56"/>
      <c r="R395" s="56"/>
      <c r="S395" s="56"/>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c r="AR395" s="56"/>
      <c r="AS395" s="56"/>
    </row>
    <row r="396" spans="1:45" x14ac:dyDescent="0.35">
      <c r="A396" s="56"/>
      <c r="J396" s="56"/>
      <c r="K396" s="56"/>
      <c r="L396" s="56"/>
      <c r="M396" s="56"/>
      <c r="N396" s="56"/>
      <c r="O396" s="56"/>
      <c r="P396" s="56"/>
      <c r="Q396" s="56"/>
      <c r="R396" s="56"/>
      <c r="S396" s="56"/>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c r="AR396" s="56"/>
      <c r="AS396" s="56"/>
    </row>
    <row r="397" spans="1:45" x14ac:dyDescent="0.35">
      <c r="A397" s="56"/>
      <c r="J397" s="56"/>
      <c r="K397" s="56"/>
      <c r="L397" s="56"/>
      <c r="M397" s="56"/>
      <c r="N397" s="56"/>
      <c r="O397" s="56"/>
      <c r="P397" s="56"/>
      <c r="Q397" s="56"/>
      <c r="R397" s="56"/>
      <c r="S397" s="56"/>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c r="AR397" s="56"/>
      <c r="AS397" s="56"/>
    </row>
    <row r="398" spans="1:45" x14ac:dyDescent="0.35">
      <c r="A398" s="56"/>
      <c r="J398" s="56"/>
      <c r="K398" s="56"/>
      <c r="L398" s="56"/>
      <c r="M398" s="56"/>
      <c r="N398" s="56"/>
      <c r="O398" s="56"/>
      <c r="P398" s="56"/>
      <c r="Q398" s="56"/>
      <c r="R398" s="56"/>
      <c r="S398" s="56"/>
      <c r="T398" s="56"/>
      <c r="U398" s="56"/>
      <c r="V398" s="56"/>
      <c r="W398" s="56"/>
      <c r="X398" s="56"/>
      <c r="Y398" s="56"/>
      <c r="Z398" s="56"/>
      <c r="AA398" s="56"/>
      <c r="AB398" s="56"/>
      <c r="AC398" s="56"/>
      <c r="AD398" s="56"/>
      <c r="AE398" s="56"/>
      <c r="AF398" s="56"/>
      <c r="AG398" s="56"/>
      <c r="AH398" s="56"/>
      <c r="AI398" s="56"/>
      <c r="AJ398" s="56"/>
      <c r="AK398" s="56"/>
      <c r="AL398" s="56"/>
      <c r="AM398" s="56"/>
      <c r="AN398" s="56"/>
      <c r="AO398" s="56"/>
      <c r="AP398" s="56"/>
      <c r="AQ398" s="56"/>
      <c r="AR398" s="56"/>
      <c r="AS398" s="56"/>
    </row>
    <row r="399" spans="1:45" x14ac:dyDescent="0.35">
      <c r="A399" s="56"/>
      <c r="J399" s="56"/>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c r="AR399" s="56"/>
      <c r="AS399" s="56"/>
    </row>
    <row r="400" spans="1:45" x14ac:dyDescent="0.35">
      <c r="A400" s="56"/>
      <c r="J400" s="56"/>
      <c r="K400" s="56"/>
      <c r="L400" s="56"/>
      <c r="M400" s="56"/>
      <c r="N400" s="56"/>
      <c r="O400" s="56"/>
      <c r="P400" s="56"/>
      <c r="Q400" s="56"/>
      <c r="R400" s="56"/>
      <c r="S400" s="56"/>
      <c r="T400" s="56"/>
      <c r="U400" s="56"/>
      <c r="V400" s="56"/>
      <c r="W400" s="56"/>
      <c r="X400" s="56"/>
      <c r="Y400" s="56"/>
      <c r="Z400" s="56"/>
      <c r="AA400" s="56"/>
      <c r="AB400" s="56"/>
      <c r="AC400" s="56"/>
      <c r="AD400" s="56"/>
      <c r="AE400" s="56"/>
      <c r="AF400" s="56"/>
      <c r="AG400" s="56"/>
      <c r="AH400" s="56"/>
      <c r="AI400" s="56"/>
      <c r="AJ400" s="56"/>
      <c r="AK400" s="56"/>
      <c r="AL400" s="56"/>
      <c r="AM400" s="56"/>
      <c r="AN400" s="56"/>
      <c r="AO400" s="56"/>
      <c r="AP400" s="56"/>
      <c r="AQ400" s="56"/>
      <c r="AR400" s="56"/>
      <c r="AS400" s="56"/>
    </row>
    <row r="401" spans="1:45" x14ac:dyDescent="0.35">
      <c r="A401" s="56"/>
      <c r="J401" s="56"/>
      <c r="K401" s="56"/>
      <c r="L401" s="56"/>
      <c r="M401" s="56"/>
      <c r="N401" s="56"/>
      <c r="O401" s="56"/>
      <c r="P401" s="56"/>
      <c r="Q401" s="56"/>
      <c r="R401" s="56"/>
      <c r="S401" s="56"/>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c r="AR401" s="56"/>
      <c r="AS401" s="56"/>
    </row>
    <row r="402" spans="1:45" x14ac:dyDescent="0.35">
      <c r="A402" s="56"/>
      <c r="J402" s="56"/>
      <c r="K402" s="56"/>
      <c r="L402" s="56"/>
      <c r="M402" s="56"/>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6"/>
      <c r="AL402" s="56"/>
      <c r="AM402" s="56"/>
      <c r="AN402" s="56"/>
      <c r="AO402" s="56"/>
      <c r="AP402" s="56"/>
      <c r="AQ402" s="56"/>
      <c r="AR402" s="56"/>
      <c r="AS402" s="56"/>
    </row>
    <row r="403" spans="1:45" x14ac:dyDescent="0.35">
      <c r="A403" s="56"/>
      <c r="J403" s="56"/>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c r="AR403" s="56"/>
      <c r="AS403" s="56"/>
    </row>
    <row r="404" spans="1:45" x14ac:dyDescent="0.35">
      <c r="A404" s="56"/>
      <c r="J404" s="56"/>
      <c r="K404" s="56"/>
      <c r="L404" s="56"/>
      <c r="M404" s="56"/>
      <c r="N404" s="56"/>
      <c r="O404" s="56"/>
      <c r="P404" s="56"/>
      <c r="Q404" s="56"/>
      <c r="R404" s="56"/>
      <c r="S404" s="56"/>
      <c r="T404" s="56"/>
      <c r="U404" s="56"/>
      <c r="V404" s="56"/>
      <c r="W404" s="56"/>
      <c r="X404" s="56"/>
      <c r="Y404" s="56"/>
      <c r="Z404" s="56"/>
      <c r="AA404" s="56"/>
      <c r="AB404" s="56"/>
      <c r="AC404" s="56"/>
      <c r="AD404" s="56"/>
      <c r="AE404" s="56"/>
      <c r="AF404" s="56"/>
      <c r="AG404" s="56"/>
      <c r="AH404" s="56"/>
      <c r="AI404" s="56"/>
      <c r="AJ404" s="56"/>
      <c r="AK404" s="56"/>
      <c r="AL404" s="56"/>
      <c r="AM404" s="56"/>
      <c r="AN404" s="56"/>
      <c r="AO404" s="56"/>
      <c r="AP404" s="56"/>
      <c r="AQ404" s="56"/>
      <c r="AR404" s="56"/>
      <c r="AS404" s="56"/>
    </row>
    <row r="405" spans="1:45" x14ac:dyDescent="0.35">
      <c r="A405" s="56"/>
      <c r="J405" s="56"/>
      <c r="K405" s="56"/>
      <c r="L405" s="56"/>
      <c r="M405" s="56"/>
      <c r="N405" s="56"/>
      <c r="O405" s="56"/>
      <c r="P405" s="56"/>
      <c r="Q405" s="56"/>
      <c r="R405" s="56"/>
      <c r="S405" s="56"/>
      <c r="T405" s="56"/>
      <c r="U405" s="56"/>
      <c r="V405" s="56"/>
      <c r="W405" s="56"/>
      <c r="X405" s="56"/>
      <c r="Y405" s="56"/>
      <c r="Z405" s="56"/>
      <c r="AA405" s="56"/>
      <c r="AB405" s="56"/>
      <c r="AC405" s="56"/>
      <c r="AD405" s="56"/>
      <c r="AE405" s="56"/>
      <c r="AF405" s="56"/>
      <c r="AG405" s="56"/>
      <c r="AH405" s="56"/>
      <c r="AI405" s="56"/>
      <c r="AJ405" s="56"/>
      <c r="AK405" s="56"/>
      <c r="AL405" s="56"/>
      <c r="AM405" s="56"/>
      <c r="AN405" s="56"/>
      <c r="AO405" s="56"/>
      <c r="AP405" s="56"/>
      <c r="AQ405" s="56"/>
      <c r="AR405" s="56"/>
      <c r="AS405" s="56"/>
    </row>
    <row r="406" spans="1:45" x14ac:dyDescent="0.35">
      <c r="A406" s="56"/>
      <c r="J406" s="56"/>
      <c r="K406" s="56"/>
      <c r="L406" s="56"/>
      <c r="M406" s="56"/>
      <c r="N406" s="56"/>
      <c r="O406" s="56"/>
      <c r="P406" s="56"/>
      <c r="Q406" s="56"/>
      <c r="R406" s="56"/>
      <c r="S406" s="56"/>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c r="AR406" s="56"/>
      <c r="AS406" s="56"/>
    </row>
    <row r="407" spans="1:45" x14ac:dyDescent="0.35">
      <c r="A407" s="56"/>
      <c r="J407" s="56"/>
      <c r="K407" s="56"/>
      <c r="L407" s="56"/>
      <c r="M407" s="56"/>
      <c r="N407" s="56"/>
      <c r="O407" s="56"/>
      <c r="P407" s="56"/>
      <c r="Q407" s="56"/>
      <c r="R407" s="56"/>
      <c r="S407" s="56"/>
      <c r="T407" s="56"/>
      <c r="U407" s="56"/>
      <c r="V407" s="56"/>
      <c r="W407" s="56"/>
      <c r="X407" s="56"/>
      <c r="Y407" s="56"/>
      <c r="Z407" s="56"/>
      <c r="AA407" s="56"/>
      <c r="AB407" s="56"/>
      <c r="AC407" s="56"/>
      <c r="AD407" s="56"/>
      <c r="AE407" s="56"/>
      <c r="AF407" s="56"/>
      <c r="AG407" s="56"/>
      <c r="AH407" s="56"/>
      <c r="AI407" s="56"/>
      <c r="AJ407" s="56"/>
      <c r="AK407" s="56"/>
      <c r="AL407" s="56"/>
      <c r="AM407" s="56"/>
      <c r="AN407" s="56"/>
      <c r="AO407" s="56"/>
      <c r="AP407" s="56"/>
      <c r="AQ407" s="56"/>
      <c r="AR407" s="56"/>
      <c r="AS407" s="56"/>
    </row>
    <row r="408" spans="1:45" x14ac:dyDescent="0.35">
      <c r="A408" s="56"/>
      <c r="J408" s="56"/>
      <c r="K408" s="56"/>
      <c r="L408" s="56"/>
      <c r="M408" s="56"/>
      <c r="N408" s="56"/>
      <c r="O408" s="56"/>
      <c r="P408" s="56"/>
      <c r="Q408" s="56"/>
      <c r="R408" s="56"/>
      <c r="S408" s="56"/>
      <c r="T408" s="56"/>
      <c r="U408" s="56"/>
      <c r="V408" s="56"/>
      <c r="W408" s="56"/>
      <c r="X408" s="56"/>
      <c r="Y408" s="56"/>
      <c r="Z408" s="56"/>
      <c r="AA408" s="56"/>
      <c r="AB408" s="56"/>
      <c r="AC408" s="56"/>
      <c r="AD408" s="56"/>
      <c r="AE408" s="56"/>
      <c r="AF408" s="56"/>
      <c r="AG408" s="56"/>
      <c r="AH408" s="56"/>
      <c r="AI408" s="56"/>
      <c r="AJ408" s="56"/>
      <c r="AK408" s="56"/>
      <c r="AL408" s="56"/>
      <c r="AM408" s="56"/>
      <c r="AN408" s="56"/>
      <c r="AO408" s="56"/>
      <c r="AP408" s="56"/>
      <c r="AQ408" s="56"/>
      <c r="AR408" s="56"/>
      <c r="AS408" s="56"/>
    </row>
    <row r="409" spans="1:45" x14ac:dyDescent="0.35">
      <c r="A409" s="56"/>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6"/>
      <c r="AH409" s="56"/>
      <c r="AI409" s="56"/>
      <c r="AJ409" s="56"/>
      <c r="AK409" s="56"/>
      <c r="AL409" s="56"/>
      <c r="AM409" s="56"/>
      <c r="AN409" s="56"/>
      <c r="AO409" s="56"/>
      <c r="AP409" s="56"/>
      <c r="AQ409" s="56"/>
      <c r="AR409" s="56"/>
      <c r="AS409" s="56"/>
    </row>
    <row r="410" spans="1:45" x14ac:dyDescent="0.35">
      <c r="A410" s="56"/>
      <c r="J410" s="56"/>
      <c r="K410" s="56"/>
      <c r="L410" s="56"/>
      <c r="M410" s="56"/>
      <c r="N410" s="56"/>
      <c r="O410" s="56"/>
      <c r="P410" s="56"/>
      <c r="Q410" s="56"/>
      <c r="R410" s="56"/>
      <c r="S410" s="56"/>
      <c r="T410" s="56"/>
      <c r="U410" s="56"/>
      <c r="V410" s="56"/>
      <c r="W410" s="56"/>
      <c r="X410" s="56"/>
      <c r="Y410" s="56"/>
      <c r="Z410" s="56"/>
      <c r="AA410" s="56"/>
      <c r="AB410" s="56"/>
      <c r="AC410" s="56"/>
      <c r="AD410" s="56"/>
      <c r="AE410" s="56"/>
      <c r="AF410" s="56"/>
      <c r="AG410" s="56"/>
      <c r="AH410" s="56"/>
      <c r="AI410" s="56"/>
      <c r="AJ410" s="56"/>
      <c r="AK410" s="56"/>
      <c r="AL410" s="56"/>
      <c r="AM410" s="56"/>
      <c r="AN410" s="56"/>
      <c r="AO410" s="56"/>
      <c r="AP410" s="56"/>
      <c r="AQ410" s="56"/>
      <c r="AR410" s="56"/>
      <c r="AS410" s="56"/>
    </row>
    <row r="411" spans="1:45" x14ac:dyDescent="0.35">
      <c r="A411" s="56"/>
      <c r="J411" s="56"/>
      <c r="K411" s="56"/>
      <c r="L411" s="56"/>
      <c r="M411" s="56"/>
      <c r="N411" s="56"/>
      <c r="O411" s="56"/>
      <c r="P411" s="56"/>
      <c r="Q411" s="56"/>
      <c r="R411" s="56"/>
      <c r="S411" s="56"/>
      <c r="T411" s="56"/>
      <c r="U411" s="56"/>
      <c r="V411" s="56"/>
      <c r="W411" s="56"/>
      <c r="X411" s="56"/>
      <c r="Y411" s="56"/>
      <c r="Z411" s="56"/>
      <c r="AA411" s="56"/>
      <c r="AB411" s="56"/>
      <c r="AC411" s="56"/>
      <c r="AD411" s="56"/>
      <c r="AE411" s="56"/>
      <c r="AF411" s="56"/>
      <c r="AG411" s="56"/>
      <c r="AH411" s="56"/>
      <c r="AI411" s="56"/>
      <c r="AJ411" s="56"/>
      <c r="AK411" s="56"/>
      <c r="AL411" s="56"/>
      <c r="AM411" s="56"/>
      <c r="AN411" s="56"/>
      <c r="AO411" s="56"/>
      <c r="AP411" s="56"/>
      <c r="AQ411" s="56"/>
      <c r="AR411" s="56"/>
      <c r="AS411" s="56"/>
    </row>
    <row r="412" spans="1:45" x14ac:dyDescent="0.35">
      <c r="A412" s="56"/>
      <c r="J412" s="56"/>
      <c r="K412" s="56"/>
      <c r="L412" s="56"/>
      <c r="M412" s="56"/>
      <c r="N412" s="56"/>
      <c r="O412" s="56"/>
      <c r="P412" s="56"/>
      <c r="Q412" s="56"/>
      <c r="R412" s="56"/>
      <c r="S412" s="56"/>
      <c r="T412" s="56"/>
      <c r="U412" s="56"/>
      <c r="V412" s="56"/>
      <c r="W412" s="56"/>
      <c r="X412" s="56"/>
      <c r="Y412" s="56"/>
      <c r="Z412" s="56"/>
      <c r="AA412" s="56"/>
      <c r="AB412" s="56"/>
      <c r="AC412" s="56"/>
      <c r="AD412" s="56"/>
      <c r="AE412" s="56"/>
      <c r="AF412" s="56"/>
      <c r="AG412" s="56"/>
      <c r="AH412" s="56"/>
      <c r="AI412" s="56"/>
      <c r="AJ412" s="56"/>
      <c r="AK412" s="56"/>
      <c r="AL412" s="56"/>
      <c r="AM412" s="56"/>
      <c r="AN412" s="56"/>
      <c r="AO412" s="56"/>
      <c r="AP412" s="56"/>
      <c r="AQ412" s="56"/>
      <c r="AR412" s="56"/>
      <c r="AS412" s="56"/>
    </row>
    <row r="413" spans="1:45" x14ac:dyDescent="0.35">
      <c r="A413" s="56"/>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6"/>
      <c r="AH413" s="56"/>
      <c r="AI413" s="56"/>
      <c r="AJ413" s="56"/>
      <c r="AK413" s="56"/>
      <c r="AL413" s="56"/>
      <c r="AM413" s="56"/>
      <c r="AN413" s="56"/>
      <c r="AO413" s="56"/>
      <c r="AP413" s="56"/>
      <c r="AQ413" s="56"/>
      <c r="AR413" s="56"/>
      <c r="AS413" s="56"/>
    </row>
    <row r="414" spans="1:45" x14ac:dyDescent="0.35">
      <c r="A414" s="56"/>
      <c r="J414" s="56"/>
      <c r="K414" s="56"/>
      <c r="L414" s="56"/>
      <c r="M414" s="56"/>
      <c r="N414" s="56"/>
      <c r="O414" s="56"/>
      <c r="P414" s="56"/>
      <c r="Q414" s="56"/>
      <c r="R414" s="56"/>
      <c r="S414" s="56"/>
      <c r="T414" s="56"/>
      <c r="U414" s="56"/>
      <c r="V414" s="56"/>
      <c r="W414" s="56"/>
      <c r="X414" s="56"/>
      <c r="Y414" s="56"/>
      <c r="Z414" s="56"/>
      <c r="AA414" s="56"/>
      <c r="AB414" s="56"/>
      <c r="AC414" s="56"/>
      <c r="AD414" s="56"/>
      <c r="AE414" s="56"/>
      <c r="AF414" s="56"/>
      <c r="AG414" s="56"/>
      <c r="AH414" s="56"/>
      <c r="AI414" s="56"/>
      <c r="AJ414" s="56"/>
      <c r="AK414" s="56"/>
      <c r="AL414" s="56"/>
      <c r="AM414" s="56"/>
      <c r="AN414" s="56"/>
      <c r="AO414" s="56"/>
      <c r="AP414" s="56"/>
      <c r="AQ414" s="56"/>
      <c r="AR414" s="56"/>
      <c r="AS414" s="56"/>
    </row>
    <row r="415" spans="1:45" x14ac:dyDescent="0.35">
      <c r="A415" s="56"/>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c r="AR415" s="56"/>
      <c r="AS415" s="56"/>
    </row>
    <row r="416" spans="1:45" x14ac:dyDescent="0.35">
      <c r="A416" s="56"/>
      <c r="J416" s="56"/>
      <c r="K416" s="56"/>
      <c r="L416" s="56"/>
      <c r="M416" s="56"/>
      <c r="N416" s="56"/>
      <c r="O416" s="56"/>
      <c r="P416" s="56"/>
      <c r="Q416" s="56"/>
      <c r="R416" s="56"/>
      <c r="S416" s="56"/>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c r="AR416" s="56"/>
      <c r="AS416" s="56"/>
    </row>
    <row r="417" spans="1:45" x14ac:dyDescent="0.35">
      <c r="A417" s="56"/>
      <c r="J417" s="56"/>
      <c r="K417" s="56"/>
      <c r="L417" s="56"/>
      <c r="M417" s="56"/>
      <c r="N417" s="56"/>
      <c r="O417" s="56"/>
      <c r="P417" s="56"/>
      <c r="Q417" s="56"/>
      <c r="R417" s="56"/>
      <c r="S417" s="56"/>
      <c r="T417" s="56"/>
      <c r="U417" s="56"/>
      <c r="V417" s="56"/>
      <c r="W417" s="56"/>
      <c r="X417" s="56"/>
      <c r="Y417" s="56"/>
      <c r="Z417" s="56"/>
      <c r="AA417" s="56"/>
      <c r="AB417" s="56"/>
      <c r="AC417" s="56"/>
      <c r="AD417" s="56"/>
      <c r="AE417" s="56"/>
      <c r="AF417" s="56"/>
      <c r="AG417" s="56"/>
      <c r="AH417" s="56"/>
      <c r="AI417" s="56"/>
      <c r="AJ417" s="56"/>
      <c r="AK417" s="56"/>
      <c r="AL417" s="56"/>
      <c r="AM417" s="56"/>
      <c r="AN417" s="56"/>
      <c r="AO417" s="56"/>
      <c r="AP417" s="56"/>
      <c r="AQ417" s="56"/>
      <c r="AR417" s="56"/>
      <c r="AS417" s="56"/>
    </row>
    <row r="418" spans="1:45" x14ac:dyDescent="0.35">
      <c r="A418" s="56"/>
      <c r="J418" s="56"/>
      <c r="K418" s="56"/>
      <c r="L418" s="56"/>
      <c r="M418" s="56"/>
      <c r="N418" s="56"/>
      <c r="O418" s="56"/>
      <c r="P418" s="56"/>
      <c r="Q418" s="56"/>
      <c r="R418" s="56"/>
      <c r="S418" s="56"/>
      <c r="T418" s="56"/>
      <c r="U418" s="56"/>
      <c r="V418" s="56"/>
      <c r="W418" s="56"/>
      <c r="X418" s="56"/>
      <c r="Y418" s="56"/>
      <c r="Z418" s="56"/>
      <c r="AA418" s="56"/>
      <c r="AB418" s="56"/>
      <c r="AC418" s="56"/>
      <c r="AD418" s="56"/>
      <c r="AE418" s="56"/>
      <c r="AF418" s="56"/>
      <c r="AG418" s="56"/>
      <c r="AH418" s="56"/>
      <c r="AI418" s="56"/>
      <c r="AJ418" s="56"/>
      <c r="AK418" s="56"/>
      <c r="AL418" s="56"/>
      <c r="AM418" s="56"/>
      <c r="AN418" s="56"/>
      <c r="AO418" s="56"/>
      <c r="AP418" s="56"/>
      <c r="AQ418" s="56"/>
      <c r="AR418" s="56"/>
      <c r="AS418" s="56"/>
    </row>
    <row r="419" spans="1:45" x14ac:dyDescent="0.35">
      <c r="A419" s="56"/>
      <c r="J419" s="56"/>
      <c r="K419" s="56"/>
      <c r="L419" s="56"/>
      <c r="M419" s="56"/>
      <c r="N419" s="56"/>
      <c r="O419" s="56"/>
      <c r="P419" s="56"/>
      <c r="Q419" s="56"/>
      <c r="R419" s="56"/>
      <c r="S419" s="56"/>
      <c r="T419" s="56"/>
      <c r="U419" s="56"/>
      <c r="V419" s="56"/>
      <c r="W419" s="56"/>
      <c r="X419" s="56"/>
      <c r="Y419" s="56"/>
      <c r="Z419" s="56"/>
      <c r="AA419" s="56"/>
      <c r="AB419" s="56"/>
      <c r="AC419" s="56"/>
      <c r="AD419" s="56"/>
      <c r="AE419" s="56"/>
      <c r="AF419" s="56"/>
      <c r="AG419" s="56"/>
      <c r="AH419" s="56"/>
      <c r="AI419" s="56"/>
      <c r="AJ419" s="56"/>
      <c r="AK419" s="56"/>
      <c r="AL419" s="56"/>
      <c r="AM419" s="56"/>
      <c r="AN419" s="56"/>
      <c r="AO419" s="56"/>
      <c r="AP419" s="56"/>
      <c r="AQ419" s="56"/>
      <c r="AR419" s="56"/>
      <c r="AS419" s="56"/>
    </row>
    <row r="420" spans="1:45" x14ac:dyDescent="0.35">
      <c r="A420" s="56"/>
      <c r="J420" s="56"/>
      <c r="K420" s="56"/>
      <c r="L420" s="56"/>
      <c r="M420" s="56"/>
      <c r="N420" s="56"/>
      <c r="O420" s="56"/>
      <c r="P420" s="56"/>
      <c r="Q420" s="56"/>
      <c r="R420" s="56"/>
      <c r="S420" s="56"/>
      <c r="T420" s="56"/>
      <c r="U420" s="56"/>
      <c r="V420" s="56"/>
      <c r="W420" s="56"/>
      <c r="X420" s="56"/>
      <c r="Y420" s="56"/>
      <c r="Z420" s="56"/>
      <c r="AA420" s="56"/>
      <c r="AB420" s="56"/>
      <c r="AC420" s="56"/>
      <c r="AD420" s="56"/>
      <c r="AE420" s="56"/>
      <c r="AF420" s="56"/>
      <c r="AG420" s="56"/>
      <c r="AH420" s="56"/>
      <c r="AI420" s="56"/>
      <c r="AJ420" s="56"/>
      <c r="AK420" s="56"/>
      <c r="AL420" s="56"/>
      <c r="AM420" s="56"/>
      <c r="AN420" s="56"/>
      <c r="AO420" s="56"/>
      <c r="AP420" s="56"/>
      <c r="AQ420" s="56"/>
      <c r="AR420" s="56"/>
      <c r="AS420" s="56"/>
    </row>
    <row r="421" spans="1:45" x14ac:dyDescent="0.35">
      <c r="A421" s="56"/>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c r="AR421" s="56"/>
      <c r="AS421" s="56"/>
    </row>
    <row r="422" spans="1:45" x14ac:dyDescent="0.35">
      <c r="A422" s="56"/>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c r="AR422" s="56"/>
      <c r="AS422" s="56"/>
    </row>
    <row r="423" spans="1:45" x14ac:dyDescent="0.35">
      <c r="A423" s="56"/>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c r="AR423" s="56"/>
      <c r="AS423" s="56"/>
    </row>
    <row r="424" spans="1:45" x14ac:dyDescent="0.35">
      <c r="A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c r="AR424" s="56"/>
      <c r="AS424" s="56"/>
    </row>
    <row r="425" spans="1:45" x14ac:dyDescent="0.35">
      <c r="A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c r="AR425" s="56"/>
      <c r="AS425" s="56"/>
    </row>
    <row r="426" spans="1:45" x14ac:dyDescent="0.35">
      <c r="A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c r="AR426" s="56"/>
      <c r="AS426" s="56"/>
    </row>
    <row r="427" spans="1:45" x14ac:dyDescent="0.35">
      <c r="A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c r="AR427" s="56"/>
      <c r="AS427" s="56"/>
    </row>
    <row r="428" spans="1:45" x14ac:dyDescent="0.35">
      <c r="A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c r="AH428" s="56"/>
      <c r="AI428" s="56"/>
      <c r="AJ428" s="56"/>
      <c r="AK428" s="56"/>
      <c r="AL428" s="56"/>
      <c r="AM428" s="56"/>
      <c r="AN428" s="56"/>
      <c r="AO428" s="56"/>
      <c r="AP428" s="56"/>
      <c r="AQ428" s="56"/>
      <c r="AR428" s="56"/>
      <c r="AS428" s="56"/>
    </row>
    <row r="429" spans="1:45" x14ac:dyDescent="0.35">
      <c r="A429" s="56"/>
      <c r="J429" s="56"/>
      <c r="K429" s="56"/>
      <c r="L429" s="56"/>
      <c r="M429" s="56"/>
      <c r="N429" s="56"/>
      <c r="O429" s="56"/>
      <c r="P429" s="56"/>
      <c r="Q429" s="56"/>
      <c r="R429" s="56"/>
      <c r="S429" s="56"/>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c r="AP429" s="56"/>
      <c r="AQ429" s="56"/>
      <c r="AR429" s="56"/>
      <c r="AS429" s="56"/>
    </row>
    <row r="430" spans="1:45" x14ac:dyDescent="0.35">
      <c r="A430" s="56"/>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c r="AR430" s="56"/>
      <c r="AS430" s="56"/>
    </row>
    <row r="431" spans="1:45" x14ac:dyDescent="0.35">
      <c r="A431" s="56"/>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c r="AP431" s="56"/>
      <c r="AQ431" s="56"/>
      <c r="AR431" s="56"/>
      <c r="AS431" s="56"/>
    </row>
    <row r="432" spans="1:45" x14ac:dyDescent="0.35">
      <c r="A432" s="56"/>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c r="AP432" s="56"/>
      <c r="AQ432" s="56"/>
      <c r="AR432" s="56"/>
      <c r="AS432" s="56"/>
    </row>
    <row r="433" spans="1:45" x14ac:dyDescent="0.35">
      <c r="A433" s="56"/>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c r="AR433" s="56"/>
      <c r="AS433" s="56"/>
    </row>
    <row r="434" spans="1:45" x14ac:dyDescent="0.35">
      <c r="A434" s="56"/>
      <c r="J434" s="56"/>
      <c r="K434" s="56"/>
      <c r="L434" s="56"/>
      <c r="M434" s="56"/>
      <c r="N434" s="56"/>
      <c r="O434" s="56"/>
      <c r="P434" s="56"/>
      <c r="Q434" s="56"/>
      <c r="R434" s="56"/>
      <c r="S434" s="56"/>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c r="AR434" s="56"/>
      <c r="AS434" s="56"/>
    </row>
    <row r="435" spans="1:45" x14ac:dyDescent="0.35">
      <c r="A435" s="56"/>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c r="AR435" s="56"/>
      <c r="AS435" s="56"/>
    </row>
    <row r="436" spans="1:45" x14ac:dyDescent="0.35">
      <c r="A436" s="56"/>
      <c r="J436" s="56"/>
      <c r="K436" s="56"/>
      <c r="L436" s="56"/>
      <c r="M436" s="56"/>
      <c r="N436" s="56"/>
      <c r="O436" s="56"/>
      <c r="P436" s="56"/>
      <c r="Q436" s="56"/>
      <c r="R436" s="56"/>
      <c r="S436" s="56"/>
      <c r="T436" s="56"/>
      <c r="U436" s="56"/>
      <c r="V436" s="56"/>
      <c r="W436" s="56"/>
      <c r="X436" s="56"/>
      <c r="Y436" s="56"/>
      <c r="Z436" s="56"/>
      <c r="AA436" s="56"/>
      <c r="AB436" s="56"/>
      <c r="AC436" s="56"/>
      <c r="AD436" s="56"/>
      <c r="AE436" s="56"/>
      <c r="AF436" s="56"/>
      <c r="AG436" s="56"/>
      <c r="AH436" s="56"/>
      <c r="AI436" s="56"/>
      <c r="AJ436" s="56"/>
      <c r="AK436" s="56"/>
      <c r="AL436" s="56"/>
      <c r="AM436" s="56"/>
      <c r="AN436" s="56"/>
      <c r="AO436" s="56"/>
      <c r="AP436" s="56"/>
      <c r="AQ436" s="56"/>
      <c r="AR436" s="56"/>
      <c r="AS436" s="56"/>
    </row>
    <row r="437" spans="1:45" x14ac:dyDescent="0.35">
      <c r="A437" s="56"/>
      <c r="J437" s="56"/>
      <c r="K437" s="56"/>
      <c r="L437" s="56"/>
      <c r="M437" s="56"/>
      <c r="N437" s="56"/>
      <c r="O437" s="56"/>
      <c r="P437" s="56"/>
      <c r="Q437" s="56"/>
      <c r="R437" s="56"/>
      <c r="S437" s="56"/>
      <c r="T437" s="56"/>
      <c r="U437" s="56"/>
      <c r="V437" s="56"/>
      <c r="W437" s="56"/>
      <c r="X437" s="56"/>
      <c r="Y437" s="56"/>
      <c r="Z437" s="56"/>
      <c r="AA437" s="56"/>
      <c r="AB437" s="56"/>
      <c r="AC437" s="56"/>
      <c r="AD437" s="56"/>
      <c r="AE437" s="56"/>
      <c r="AF437" s="56"/>
      <c r="AG437" s="56"/>
      <c r="AH437" s="56"/>
      <c r="AI437" s="56"/>
      <c r="AJ437" s="56"/>
      <c r="AK437" s="56"/>
      <c r="AL437" s="56"/>
      <c r="AM437" s="56"/>
      <c r="AN437" s="56"/>
      <c r="AO437" s="56"/>
      <c r="AP437" s="56"/>
      <c r="AQ437" s="56"/>
      <c r="AR437" s="56"/>
      <c r="AS437" s="56"/>
    </row>
    <row r="438" spans="1:45" x14ac:dyDescent="0.35">
      <c r="A438" s="56"/>
      <c r="J438" s="56"/>
      <c r="K438" s="56"/>
      <c r="L438" s="56"/>
      <c r="M438" s="56"/>
      <c r="N438" s="56"/>
      <c r="O438" s="56"/>
      <c r="P438" s="56"/>
      <c r="Q438" s="56"/>
      <c r="R438" s="56"/>
      <c r="S438" s="56"/>
      <c r="T438" s="56"/>
      <c r="U438" s="56"/>
      <c r="V438" s="56"/>
      <c r="W438" s="56"/>
      <c r="X438" s="56"/>
      <c r="Y438" s="56"/>
      <c r="Z438" s="56"/>
      <c r="AA438" s="56"/>
      <c r="AB438" s="56"/>
      <c r="AC438" s="56"/>
      <c r="AD438" s="56"/>
      <c r="AE438" s="56"/>
      <c r="AF438" s="56"/>
      <c r="AG438" s="56"/>
      <c r="AH438" s="56"/>
      <c r="AI438" s="56"/>
      <c r="AJ438" s="56"/>
      <c r="AK438" s="56"/>
      <c r="AL438" s="56"/>
      <c r="AM438" s="56"/>
      <c r="AN438" s="56"/>
      <c r="AO438" s="56"/>
      <c r="AP438" s="56"/>
      <c r="AQ438" s="56"/>
      <c r="AR438" s="56"/>
      <c r="AS438" s="56"/>
    </row>
    <row r="439" spans="1:45" x14ac:dyDescent="0.35">
      <c r="A439" s="56"/>
      <c r="J439" s="56"/>
      <c r="K439" s="56"/>
      <c r="L439" s="56"/>
      <c r="M439" s="56"/>
      <c r="N439" s="56"/>
      <c r="O439" s="56"/>
      <c r="P439" s="56"/>
      <c r="Q439" s="56"/>
      <c r="R439" s="56"/>
      <c r="S439" s="56"/>
      <c r="T439" s="56"/>
      <c r="U439" s="56"/>
      <c r="V439" s="56"/>
      <c r="W439" s="56"/>
      <c r="X439" s="56"/>
      <c r="Y439" s="56"/>
      <c r="Z439" s="56"/>
      <c r="AA439" s="56"/>
      <c r="AB439" s="56"/>
      <c r="AC439" s="56"/>
      <c r="AD439" s="56"/>
      <c r="AE439" s="56"/>
      <c r="AF439" s="56"/>
      <c r="AG439" s="56"/>
      <c r="AH439" s="56"/>
      <c r="AI439" s="56"/>
      <c r="AJ439" s="56"/>
      <c r="AK439" s="56"/>
      <c r="AL439" s="56"/>
      <c r="AM439" s="56"/>
      <c r="AN439" s="56"/>
      <c r="AO439" s="56"/>
      <c r="AP439" s="56"/>
      <c r="AQ439" s="56"/>
      <c r="AR439" s="56"/>
      <c r="AS439" s="56"/>
    </row>
    <row r="440" spans="1:45" x14ac:dyDescent="0.35">
      <c r="A440" s="56"/>
      <c r="J440" s="56"/>
      <c r="K440" s="56"/>
      <c r="L440" s="56"/>
      <c r="M440" s="56"/>
      <c r="N440" s="56"/>
      <c r="O440" s="56"/>
      <c r="P440" s="56"/>
      <c r="Q440" s="56"/>
      <c r="R440" s="56"/>
      <c r="S440" s="56"/>
      <c r="T440" s="56"/>
      <c r="U440" s="56"/>
      <c r="V440" s="56"/>
      <c r="W440" s="56"/>
      <c r="X440" s="56"/>
      <c r="Y440" s="56"/>
      <c r="Z440" s="56"/>
      <c r="AA440" s="56"/>
      <c r="AB440" s="56"/>
      <c r="AC440" s="56"/>
      <c r="AD440" s="56"/>
      <c r="AE440" s="56"/>
      <c r="AF440" s="56"/>
      <c r="AG440" s="56"/>
      <c r="AH440" s="56"/>
      <c r="AI440" s="56"/>
      <c r="AJ440" s="56"/>
      <c r="AK440" s="56"/>
      <c r="AL440" s="56"/>
      <c r="AM440" s="56"/>
      <c r="AN440" s="56"/>
      <c r="AO440" s="56"/>
      <c r="AP440" s="56"/>
      <c r="AQ440" s="56"/>
      <c r="AR440" s="56"/>
      <c r="AS440" s="56"/>
    </row>
    <row r="441" spans="1:45" x14ac:dyDescent="0.35">
      <c r="A441" s="56"/>
      <c r="J441" s="56"/>
      <c r="K441" s="56"/>
      <c r="L441" s="56"/>
      <c r="M441" s="56"/>
      <c r="N441" s="56"/>
      <c r="O441" s="56"/>
      <c r="P441" s="56"/>
      <c r="Q441" s="56"/>
      <c r="R441" s="56"/>
      <c r="S441" s="56"/>
      <c r="T441" s="56"/>
      <c r="U441" s="56"/>
      <c r="V441" s="56"/>
      <c r="W441" s="56"/>
      <c r="X441" s="56"/>
      <c r="Y441" s="56"/>
      <c r="Z441" s="56"/>
      <c r="AA441" s="56"/>
      <c r="AB441" s="56"/>
      <c r="AC441" s="56"/>
      <c r="AD441" s="56"/>
      <c r="AE441" s="56"/>
      <c r="AF441" s="56"/>
      <c r="AG441" s="56"/>
      <c r="AH441" s="56"/>
      <c r="AI441" s="56"/>
      <c r="AJ441" s="56"/>
      <c r="AK441" s="56"/>
      <c r="AL441" s="56"/>
      <c r="AM441" s="56"/>
      <c r="AN441" s="56"/>
      <c r="AO441" s="56"/>
      <c r="AP441" s="56"/>
      <c r="AQ441" s="56"/>
      <c r="AR441" s="56"/>
      <c r="AS441" s="56"/>
    </row>
    <row r="442" spans="1:45" x14ac:dyDescent="0.35">
      <c r="A442" s="56"/>
      <c r="J442" s="56"/>
      <c r="K442" s="56"/>
      <c r="L442" s="56"/>
      <c r="M442" s="56"/>
      <c r="N442" s="56"/>
      <c r="O442" s="56"/>
      <c r="P442" s="56"/>
      <c r="Q442" s="56"/>
      <c r="R442" s="56"/>
      <c r="S442" s="56"/>
      <c r="T442" s="56"/>
      <c r="U442" s="56"/>
      <c r="V442" s="56"/>
      <c r="W442" s="56"/>
      <c r="X442" s="56"/>
      <c r="Y442" s="56"/>
      <c r="Z442" s="56"/>
      <c r="AA442" s="56"/>
      <c r="AB442" s="56"/>
      <c r="AC442" s="56"/>
      <c r="AD442" s="56"/>
      <c r="AE442" s="56"/>
      <c r="AF442" s="56"/>
      <c r="AG442" s="56"/>
      <c r="AH442" s="56"/>
      <c r="AI442" s="56"/>
      <c r="AJ442" s="56"/>
      <c r="AK442" s="56"/>
      <c r="AL442" s="56"/>
      <c r="AM442" s="56"/>
      <c r="AN442" s="56"/>
      <c r="AO442" s="56"/>
      <c r="AP442" s="56"/>
      <c r="AQ442" s="56"/>
      <c r="AR442" s="56"/>
      <c r="AS442" s="56"/>
    </row>
    <row r="443" spans="1:45" x14ac:dyDescent="0.35">
      <c r="A443" s="56"/>
      <c r="J443" s="56"/>
      <c r="K443" s="56"/>
      <c r="L443" s="56"/>
      <c r="M443" s="56"/>
      <c r="N443" s="56"/>
      <c r="O443" s="56"/>
      <c r="P443" s="56"/>
      <c r="Q443" s="56"/>
      <c r="R443" s="56"/>
      <c r="S443" s="56"/>
      <c r="T443" s="56"/>
      <c r="U443" s="56"/>
      <c r="V443" s="56"/>
      <c r="W443" s="56"/>
      <c r="X443" s="56"/>
      <c r="Y443" s="56"/>
      <c r="Z443" s="56"/>
      <c r="AA443" s="56"/>
      <c r="AB443" s="56"/>
      <c r="AC443" s="56"/>
      <c r="AD443" s="56"/>
      <c r="AE443" s="56"/>
      <c r="AF443" s="56"/>
      <c r="AG443" s="56"/>
      <c r="AH443" s="56"/>
      <c r="AI443" s="56"/>
      <c r="AJ443" s="56"/>
      <c r="AK443" s="56"/>
      <c r="AL443" s="56"/>
      <c r="AM443" s="56"/>
      <c r="AN443" s="56"/>
      <c r="AO443" s="56"/>
      <c r="AP443" s="56"/>
      <c r="AQ443" s="56"/>
      <c r="AR443" s="56"/>
      <c r="AS443" s="56"/>
    </row>
    <row r="444" spans="1:45" x14ac:dyDescent="0.35">
      <c r="A444" s="56"/>
      <c r="J444" s="56"/>
      <c r="K444" s="56"/>
      <c r="L444" s="56"/>
      <c r="M444" s="56"/>
      <c r="N444" s="56"/>
      <c r="O444" s="56"/>
      <c r="P444" s="56"/>
      <c r="Q444" s="56"/>
      <c r="R444" s="56"/>
      <c r="S444" s="56"/>
      <c r="T444" s="56"/>
      <c r="U444" s="56"/>
      <c r="V444" s="56"/>
      <c r="W444" s="56"/>
      <c r="X444" s="56"/>
      <c r="Y444" s="56"/>
      <c r="Z444" s="56"/>
      <c r="AA444" s="56"/>
      <c r="AB444" s="56"/>
      <c r="AC444" s="56"/>
      <c r="AD444" s="56"/>
      <c r="AE444" s="56"/>
      <c r="AF444" s="56"/>
      <c r="AG444" s="56"/>
      <c r="AH444" s="56"/>
      <c r="AI444" s="56"/>
      <c r="AJ444" s="56"/>
      <c r="AK444" s="56"/>
      <c r="AL444" s="56"/>
      <c r="AM444" s="56"/>
      <c r="AN444" s="56"/>
      <c r="AO444" s="56"/>
      <c r="AP444" s="56"/>
      <c r="AQ444" s="56"/>
      <c r="AR444" s="56"/>
      <c r="AS444" s="56"/>
    </row>
    <row r="445" spans="1:45" x14ac:dyDescent="0.35">
      <c r="A445" s="56"/>
    </row>
    <row r="446" spans="1:45" x14ac:dyDescent="0.35">
      <c r="A446" s="56"/>
    </row>
    <row r="447" spans="1:45" x14ac:dyDescent="0.35">
      <c r="A447" s="56"/>
    </row>
    <row r="448" spans="1:45" x14ac:dyDescent="0.35">
      <c r="A448" s="56"/>
    </row>
  </sheetData>
  <mergeCells count="17">
    <mergeCell ref="J256:L261"/>
    <mergeCell ref="M256:O261"/>
    <mergeCell ref="P256:R261"/>
    <mergeCell ref="S256:U261"/>
    <mergeCell ref="V256:X261"/>
    <mergeCell ref="Z56:AE105"/>
    <mergeCell ref="E56:I105"/>
    <mergeCell ref="Z6:AE55"/>
    <mergeCell ref="B2:I4"/>
    <mergeCell ref="J2:X4"/>
    <mergeCell ref="B6:D255"/>
    <mergeCell ref="E6:I55"/>
    <mergeCell ref="E206:I255"/>
    <mergeCell ref="Z156:AE205"/>
    <mergeCell ref="E156:I205"/>
    <mergeCell ref="Z106:AE155"/>
    <mergeCell ref="E106:I15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M156"/>
  <sheetViews>
    <sheetView tabSelected="1" zoomScale="80" zoomScaleNormal="80" workbookViewId="0">
      <pane ySplit="6" topLeftCell="A7" activePane="bottomLeft" state="frozen"/>
      <selection activeCell="A6" sqref="A6"/>
      <selection pane="bottomLeft" sqref="A1:AM2"/>
    </sheetView>
  </sheetViews>
  <sheetFormatPr baseColWidth="10" defaultColWidth="11.453125" defaultRowHeight="14" x14ac:dyDescent="0.35"/>
  <cols>
    <col min="1" max="1" width="4" style="1" bestFit="1" customWidth="1"/>
    <col min="2" max="2" width="21.7265625" style="1" customWidth="1"/>
    <col min="3" max="3" width="25.54296875" style="1" customWidth="1"/>
    <col min="4" max="4" width="20.54296875" style="1" customWidth="1"/>
    <col min="5" max="5" width="15.54296875" style="1" customWidth="1"/>
    <col min="6" max="6" width="24.453125" style="1" customWidth="1"/>
    <col min="7" max="7" width="21.81640625" style="1" customWidth="1"/>
    <col min="8" max="8" width="32.453125" style="2" customWidth="1"/>
    <col min="9" max="9" width="19" style="1" customWidth="1"/>
    <col min="10" max="10" width="17.81640625" style="1" customWidth="1"/>
    <col min="11" max="11" width="16.54296875" style="1" customWidth="1"/>
    <col min="12" max="12" width="6.26953125" style="1" customWidth="1"/>
    <col min="13" max="13" width="33" style="1" customWidth="1"/>
    <col min="14" max="14" width="42" style="1" customWidth="1"/>
    <col min="15" max="15" width="15.453125" style="1" customWidth="1"/>
    <col min="16" max="16" width="6.26953125" style="1" customWidth="1"/>
    <col min="17" max="17" width="16" style="1" customWidth="1"/>
    <col min="18" max="18" width="5.81640625" style="1" customWidth="1"/>
    <col min="19" max="19" width="45.1796875" style="2" customWidth="1"/>
    <col min="20" max="20" width="15.1796875" style="1" customWidth="1"/>
    <col min="21" max="21" width="6.81640625" style="1" customWidth="1"/>
    <col min="22" max="22" width="5" style="1" customWidth="1"/>
    <col min="23" max="23" width="5.54296875" style="1" customWidth="1"/>
    <col min="24" max="24" width="7.1796875" style="1" customWidth="1"/>
    <col min="25" max="25" width="6.7265625" style="1" customWidth="1"/>
    <col min="26" max="26" width="7.54296875" style="1" customWidth="1"/>
    <col min="27" max="27" width="10.54296875" style="1" hidden="1" customWidth="1"/>
    <col min="28" max="28" width="8.7265625" style="1" hidden="1" customWidth="1"/>
    <col min="29" max="29" width="8.81640625" style="1" hidden="1" customWidth="1"/>
    <col min="30" max="30" width="9.26953125" style="1" hidden="1" customWidth="1"/>
    <col min="31" max="31" width="9.453125" style="1" hidden="1" customWidth="1"/>
    <col min="32" max="32" width="8.453125" style="1" hidden="1" customWidth="1"/>
    <col min="33" max="33" width="7.26953125" style="1" customWidth="1"/>
    <col min="34" max="34" width="23" style="2" customWidth="1"/>
    <col min="35" max="35" width="18.81640625" style="1" customWidth="1"/>
    <col min="36" max="36" width="12.54296875" style="124" customWidth="1"/>
    <col min="37" max="37" width="16.1796875" style="124" bestFit="1" customWidth="1"/>
    <col min="38" max="38" width="18.54296875" style="125" customWidth="1"/>
    <col min="39" max="39" width="21" style="2" customWidth="1"/>
    <col min="40" max="94" width="11.453125" style="218" customWidth="1"/>
    <col min="95" max="16384" width="11.453125" style="218"/>
  </cols>
  <sheetData>
    <row r="1" spans="1:39" ht="16.5" customHeight="1" x14ac:dyDescent="0.35">
      <c r="A1" s="429" t="s">
        <v>526</v>
      </c>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M1" s="431"/>
    </row>
    <row r="2" spans="1:39" ht="24" customHeight="1" x14ac:dyDescent="0.35">
      <c r="A2" s="432"/>
      <c r="B2" s="433"/>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4"/>
    </row>
    <row r="3" spans="1:39" x14ac:dyDescent="0.35">
      <c r="A3" s="22"/>
      <c r="B3" s="22"/>
      <c r="C3" s="22"/>
      <c r="D3" s="22"/>
      <c r="E3" s="23"/>
      <c r="F3" s="22"/>
      <c r="G3" s="22"/>
      <c r="H3" s="21"/>
      <c r="I3" s="22"/>
      <c r="J3" s="22"/>
      <c r="K3" s="22"/>
      <c r="L3" s="22"/>
      <c r="M3" s="22"/>
      <c r="N3" s="22"/>
      <c r="O3" s="22"/>
      <c r="P3" s="22"/>
      <c r="Q3" s="22"/>
      <c r="R3" s="22"/>
      <c r="S3" s="21"/>
      <c r="T3" s="22"/>
      <c r="U3" s="22"/>
      <c r="V3" s="22"/>
      <c r="W3" s="22"/>
      <c r="X3" s="22"/>
      <c r="Y3" s="22"/>
      <c r="Z3" s="22"/>
      <c r="AA3" s="22"/>
      <c r="AB3" s="22"/>
      <c r="AC3" s="22"/>
      <c r="AD3" s="22"/>
      <c r="AE3" s="22"/>
      <c r="AF3" s="22"/>
      <c r="AG3" s="22"/>
      <c r="AH3" s="21"/>
      <c r="AI3" s="22"/>
      <c r="AJ3" s="122"/>
      <c r="AK3" s="122"/>
      <c r="AL3" s="123"/>
      <c r="AM3" s="21"/>
    </row>
    <row r="4" spans="1:39" x14ac:dyDescent="0.35">
      <c r="A4" s="435" t="s">
        <v>125</v>
      </c>
      <c r="B4" s="436"/>
      <c r="C4" s="436"/>
      <c r="D4" s="436"/>
      <c r="E4" s="436"/>
      <c r="F4" s="436"/>
      <c r="G4" s="436"/>
      <c r="H4" s="436"/>
      <c r="I4" s="436"/>
      <c r="J4" s="437"/>
      <c r="K4" s="435" t="s">
        <v>126</v>
      </c>
      <c r="L4" s="436"/>
      <c r="M4" s="436"/>
      <c r="N4" s="436"/>
      <c r="O4" s="436"/>
      <c r="P4" s="436"/>
      <c r="Q4" s="437"/>
      <c r="R4" s="435" t="s">
        <v>127</v>
      </c>
      <c r="S4" s="436"/>
      <c r="T4" s="436"/>
      <c r="U4" s="436"/>
      <c r="V4" s="436"/>
      <c r="W4" s="436"/>
      <c r="X4" s="436"/>
      <c r="Y4" s="436"/>
      <c r="Z4" s="437"/>
      <c r="AA4" s="435" t="s">
        <v>128</v>
      </c>
      <c r="AB4" s="436"/>
      <c r="AC4" s="436"/>
      <c r="AD4" s="436"/>
      <c r="AE4" s="436"/>
      <c r="AF4" s="436"/>
      <c r="AG4" s="437"/>
      <c r="AH4" s="435" t="s">
        <v>34</v>
      </c>
      <c r="AI4" s="436"/>
      <c r="AJ4" s="436"/>
      <c r="AK4" s="436"/>
      <c r="AL4" s="436"/>
      <c r="AM4" s="437"/>
    </row>
    <row r="5" spans="1:39" ht="16.5" customHeight="1" x14ac:dyDescent="0.35">
      <c r="A5" s="442" t="s">
        <v>0</v>
      </c>
      <c r="B5" s="445" t="s">
        <v>188</v>
      </c>
      <c r="C5" s="445" t="s">
        <v>189</v>
      </c>
      <c r="D5" s="445" t="s">
        <v>172</v>
      </c>
      <c r="E5" s="447" t="s">
        <v>2</v>
      </c>
      <c r="F5" s="445" t="s">
        <v>3</v>
      </c>
      <c r="G5" s="445" t="s">
        <v>38</v>
      </c>
      <c r="H5" s="446" t="s">
        <v>1</v>
      </c>
      <c r="I5" s="444" t="s">
        <v>44</v>
      </c>
      <c r="J5" s="445" t="s">
        <v>121</v>
      </c>
      <c r="K5" s="448" t="s">
        <v>33</v>
      </c>
      <c r="L5" s="449" t="s">
        <v>5</v>
      </c>
      <c r="M5" s="444" t="s">
        <v>80</v>
      </c>
      <c r="N5" s="444" t="s">
        <v>85</v>
      </c>
      <c r="O5" s="451" t="s">
        <v>39</v>
      </c>
      <c r="P5" s="449" t="s">
        <v>5</v>
      </c>
      <c r="Q5" s="445" t="s">
        <v>42</v>
      </c>
      <c r="R5" s="438" t="s">
        <v>11</v>
      </c>
      <c r="S5" s="441" t="s">
        <v>137</v>
      </c>
      <c r="T5" s="444" t="s">
        <v>12</v>
      </c>
      <c r="U5" s="441" t="s">
        <v>8</v>
      </c>
      <c r="V5" s="441"/>
      <c r="W5" s="441"/>
      <c r="X5" s="441"/>
      <c r="Y5" s="441"/>
      <c r="Z5" s="441"/>
      <c r="AA5" s="440" t="s">
        <v>124</v>
      </c>
      <c r="AB5" s="440" t="s">
        <v>40</v>
      </c>
      <c r="AC5" s="440" t="s">
        <v>5</v>
      </c>
      <c r="AD5" s="440" t="s">
        <v>41</v>
      </c>
      <c r="AE5" s="440" t="s">
        <v>5</v>
      </c>
      <c r="AF5" s="440" t="s">
        <v>43</v>
      </c>
      <c r="AG5" s="438" t="s">
        <v>29</v>
      </c>
      <c r="AH5" s="441" t="s">
        <v>190</v>
      </c>
      <c r="AI5" s="441" t="s">
        <v>204</v>
      </c>
      <c r="AJ5" s="441" t="s">
        <v>194</v>
      </c>
      <c r="AK5" s="441" t="s">
        <v>195</v>
      </c>
      <c r="AL5" s="441" t="s">
        <v>608</v>
      </c>
      <c r="AM5" s="441" t="s">
        <v>35</v>
      </c>
    </row>
    <row r="6" spans="1:39" s="219" customFormat="1" ht="58.5" customHeight="1" x14ac:dyDescent="0.35">
      <c r="A6" s="443"/>
      <c r="B6" s="441"/>
      <c r="C6" s="441"/>
      <c r="D6" s="441"/>
      <c r="E6" s="447"/>
      <c r="F6" s="441"/>
      <c r="G6" s="441"/>
      <c r="H6" s="447"/>
      <c r="I6" s="445"/>
      <c r="J6" s="441"/>
      <c r="K6" s="445"/>
      <c r="L6" s="450"/>
      <c r="M6" s="445"/>
      <c r="N6" s="445"/>
      <c r="O6" s="450"/>
      <c r="P6" s="450"/>
      <c r="Q6" s="441"/>
      <c r="R6" s="439"/>
      <c r="S6" s="441"/>
      <c r="T6" s="445"/>
      <c r="U6" s="4" t="s">
        <v>13</v>
      </c>
      <c r="V6" s="4" t="s">
        <v>17</v>
      </c>
      <c r="W6" s="4" t="s">
        <v>28</v>
      </c>
      <c r="X6" s="4" t="s">
        <v>18</v>
      </c>
      <c r="Y6" s="4" t="s">
        <v>21</v>
      </c>
      <c r="Z6" s="4" t="s">
        <v>24</v>
      </c>
      <c r="AA6" s="440"/>
      <c r="AB6" s="440"/>
      <c r="AC6" s="440"/>
      <c r="AD6" s="440"/>
      <c r="AE6" s="440"/>
      <c r="AF6" s="440"/>
      <c r="AG6" s="439"/>
      <c r="AH6" s="441"/>
      <c r="AI6" s="441"/>
      <c r="AJ6" s="441"/>
      <c r="AK6" s="441"/>
      <c r="AL6" s="441"/>
      <c r="AM6" s="441"/>
    </row>
    <row r="7" spans="1:39" s="164" customFormat="1" ht="167.25" customHeight="1" x14ac:dyDescent="0.35">
      <c r="A7" s="395">
        <v>1</v>
      </c>
      <c r="B7" s="369" t="s">
        <v>327</v>
      </c>
      <c r="C7" s="390" t="s">
        <v>376</v>
      </c>
      <c r="D7" s="390" t="s">
        <v>191</v>
      </c>
      <c r="E7" s="377" t="s">
        <v>118</v>
      </c>
      <c r="F7" s="377" t="s">
        <v>433</v>
      </c>
      <c r="G7" s="377" t="s">
        <v>434</v>
      </c>
      <c r="H7" s="379" t="s">
        <v>544</v>
      </c>
      <c r="I7" s="377" t="s">
        <v>115</v>
      </c>
      <c r="J7" s="375">
        <v>4</v>
      </c>
      <c r="K7" s="372" t="str">
        <f>IF(J7&lt;=0,"",IF(J7&lt;=2,"Muy Baja",IF(J7&lt;=24,"Baja",IF(J7&lt;=500,"Media",IF(J7&lt;=5000,"Alta","Muy Alta")))))</f>
        <v>Baja</v>
      </c>
      <c r="L7" s="385">
        <f>IF(K7="","",IF(K7="Muy Baja",0.2,IF(K7="Baja",0.4,IF(K7="Media",0.6,IF(K7="Alta",0.8,IF(K7="Muy Alta",1,))))))</f>
        <v>0.4</v>
      </c>
      <c r="M7" s="388" t="s">
        <v>486</v>
      </c>
      <c r="N7" s="129"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372" t="str">
        <f>IF(OR(N7='Tabla Impacto'!$C$11,N7='Tabla Impacto'!$D$11),"Leve",IF(OR(N7='Tabla Impacto'!$C$12,N7='Tabla Impacto'!$D$12),"Menor",IF(OR(N7='Tabla Impacto'!$C$13,N7='Tabla Impacto'!$D$13),"Moderado",IF(OR(N7='Tabla Impacto'!$C$14,N7='Tabla Impacto'!$D$14),"Mayor",IF(OR(N7='Tabla Impacto'!$C$15,N7='Tabla Impacto'!$D$15),"Catastrófico","")))))</f>
        <v>Moderado</v>
      </c>
      <c r="P7" s="385">
        <f>IF(O7="","",IF(O7="Leve",0.2,IF(O7="Menor",0.4,IF(O7="Moderado",0.6,IF(O7="Mayor",0.8,IF(O7="Catastrófico",1,))))))</f>
        <v>0.6</v>
      </c>
      <c r="Q7" s="382"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30">
        <v>1</v>
      </c>
      <c r="S7" s="98" t="s">
        <v>192</v>
      </c>
      <c r="T7" s="131" t="str">
        <f>IF(OR(U7="Preventivo",U7="Detectivo"),"Probabilidad",IF(U7="Correctivo","Impacto",""))</f>
        <v>Probabilidad</v>
      </c>
      <c r="U7" s="132" t="s">
        <v>14</v>
      </c>
      <c r="V7" s="132" t="s">
        <v>9</v>
      </c>
      <c r="W7" s="133" t="str">
        <f>IF(AND(U7="Preventivo",V7="Automático"),"50%",IF(AND(U7="Preventivo",V7="Manual"),"40%",IF(AND(U7="Detectivo",V7="Automático"),"40%",IF(AND(U7="Detectivo",V7="Manual"),"30%",IF(AND(U7="Correctivo",V7="Automático"),"35%",IF(AND(U7="Correctivo",V7="Manual"),"25%",""))))))</f>
        <v>40%</v>
      </c>
      <c r="X7" s="132" t="s">
        <v>19</v>
      </c>
      <c r="Y7" s="132" t="s">
        <v>22</v>
      </c>
      <c r="Z7" s="132" t="s">
        <v>110</v>
      </c>
      <c r="AA7" s="134">
        <f>IFERROR(IF(T7="Probabilidad",($L$7-(+$L$7*W7)),IF(T7="Impacto",$L$7,"")),"")</f>
        <v>0.24</v>
      </c>
      <c r="AB7" s="135" t="str">
        <f>IFERROR(IF(AA7="","",IF(AA7&lt;=0.2,"Muy Baja",IF(AA7&lt;=0.4,"Baja",IF(AA7&lt;=0.6,"Media",IF(AA7&lt;=0.8,"Alta","Muy Alta"))))),"")</f>
        <v>Baja</v>
      </c>
      <c r="AC7" s="136">
        <f>+AA7</f>
        <v>0.24</v>
      </c>
      <c r="AD7" s="135" t="str">
        <f>IFERROR(IF(AE7="","",IF(AE7&lt;=0.2,"Leve",IF(AE7&lt;=0.4,"Menor",IF(AE7&lt;=0.6,"Moderado",IF(AE7&lt;=0.8,"Mayor","Catastrófico"))))),"")</f>
        <v>Moderado</v>
      </c>
      <c r="AE7" s="136">
        <f>IFERROR(IF(T7="Impacto",($P$7-(+$P$7*W7)),IF(T7="Probabilidad",$P$7,"")),"")</f>
        <v>0.6</v>
      </c>
      <c r="AF7" s="137" t="str">
        <f>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38" t="s">
        <v>122</v>
      </c>
      <c r="AH7" s="139" t="s">
        <v>543</v>
      </c>
      <c r="AI7" s="140" t="s">
        <v>203</v>
      </c>
      <c r="AJ7" s="141" t="s">
        <v>196</v>
      </c>
      <c r="AK7" s="141" t="s">
        <v>196</v>
      </c>
      <c r="AL7" s="98" t="s">
        <v>193</v>
      </c>
      <c r="AM7" s="140"/>
    </row>
    <row r="8" spans="1:39" s="164" customFormat="1" ht="167.25" customHeight="1" x14ac:dyDescent="0.35">
      <c r="A8" s="394"/>
      <c r="B8" s="370"/>
      <c r="C8" s="393"/>
      <c r="D8" s="391"/>
      <c r="E8" s="378"/>
      <c r="F8" s="378"/>
      <c r="G8" s="378"/>
      <c r="H8" s="380"/>
      <c r="I8" s="378"/>
      <c r="J8" s="376"/>
      <c r="K8" s="373"/>
      <c r="L8" s="386"/>
      <c r="M8" s="389"/>
      <c r="N8" s="142"/>
      <c r="O8" s="373"/>
      <c r="P8" s="386"/>
      <c r="Q8" s="383"/>
      <c r="R8" s="130">
        <v>2</v>
      </c>
      <c r="S8" s="98"/>
      <c r="T8" s="131" t="str">
        <f t="shared" ref="T8:T9" si="0">IF(OR(U8="Preventivo",U8="Detectivo"),"Probabilidad",IF(U8="Correctivo","Impacto",""))</f>
        <v/>
      </c>
      <c r="U8" s="132"/>
      <c r="V8" s="132"/>
      <c r="W8" s="133" t="str">
        <f t="shared" ref="W8" si="1">IF(AND(U8="Preventivo",V8="Automático"),"50%",IF(AND(U8="Preventivo",V8="Manual"),"40%",IF(AND(U8="Detectivo",V8="Automático"),"40%",IF(AND(U8="Detectivo",V8="Manual"),"30%",IF(AND(U8="Correctivo",V8="Automático"),"35%",IF(AND(U8="Correctivo",V8="Manual"),"25%",""))))))</f>
        <v/>
      </c>
      <c r="X8" s="132"/>
      <c r="Y8" s="132"/>
      <c r="Z8" s="132"/>
      <c r="AA8" s="134" t="str">
        <f>IFERROR(IF(T8="Probabilidad",(AA7-(+AA7*W8)),IF(T8="Impacto",$L$7,"")),"")</f>
        <v/>
      </c>
      <c r="AB8" s="135" t="str">
        <f t="shared" ref="AB8:AB9" si="2">IFERROR(IF(AA8="","",IF(AA8&lt;=0.2,"Muy Baja",IF(AA8&lt;=0.4,"Baja",IF(AA8&lt;=0.6,"Media",IF(AA8&lt;=0.8,"Alta","Muy Alta"))))),"")</f>
        <v/>
      </c>
      <c r="AC8" s="136" t="str">
        <f t="shared" ref="AC8:AC9" si="3">+AA8</f>
        <v/>
      </c>
      <c r="AD8" s="135" t="str">
        <f t="shared" ref="AD8:AD9" si="4">IFERROR(IF(AE8="","",IF(AE8&lt;=0.2,"Leve",IF(AE8&lt;=0.4,"Menor",IF(AE8&lt;=0.6,"Moderado",IF(AE8&lt;=0.8,"Mayor","Catastrófico"))))),"")</f>
        <v/>
      </c>
      <c r="AE8" s="136" t="str">
        <f t="shared" ref="AE8:AE9" si="5">IFERROR(IF(T8="Impacto",($P$7-(+$P$7*W8)),IF(T8="Probabilidad",$P$7,"")),"")</f>
        <v/>
      </c>
      <c r="AF8" s="137"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38"/>
      <c r="AH8" s="98"/>
      <c r="AI8" s="140"/>
      <c r="AJ8" s="141"/>
      <c r="AK8" s="141"/>
      <c r="AL8" s="98"/>
      <c r="AM8" s="140"/>
    </row>
    <row r="9" spans="1:39" s="164" customFormat="1" ht="167.25" customHeight="1" x14ac:dyDescent="0.35">
      <c r="A9" s="394"/>
      <c r="B9" s="371"/>
      <c r="C9" s="393"/>
      <c r="D9" s="391"/>
      <c r="E9" s="378"/>
      <c r="F9" s="378"/>
      <c r="G9" s="378"/>
      <c r="H9" s="380"/>
      <c r="I9" s="378"/>
      <c r="J9" s="376"/>
      <c r="K9" s="374"/>
      <c r="L9" s="387"/>
      <c r="M9" s="389"/>
      <c r="N9" s="142"/>
      <c r="O9" s="374"/>
      <c r="P9" s="387"/>
      <c r="Q9" s="384"/>
      <c r="R9" s="130">
        <v>3</v>
      </c>
      <c r="S9" s="98"/>
      <c r="T9" s="131" t="str">
        <f t="shared" si="0"/>
        <v/>
      </c>
      <c r="U9" s="132"/>
      <c r="V9" s="132"/>
      <c r="W9" s="133"/>
      <c r="X9" s="132"/>
      <c r="Y9" s="132"/>
      <c r="Z9" s="132"/>
      <c r="AA9" s="134" t="str">
        <f>IFERROR(IF(T9="Probabilidad",(AA8-(+AA8*W9)),IF(T9="Impacto",$L$7,"")),"")</f>
        <v/>
      </c>
      <c r="AB9" s="135" t="str">
        <f t="shared" si="2"/>
        <v/>
      </c>
      <c r="AC9" s="136" t="str">
        <f t="shared" si="3"/>
        <v/>
      </c>
      <c r="AD9" s="135" t="str">
        <f t="shared" si="4"/>
        <v/>
      </c>
      <c r="AE9" s="136" t="str">
        <f t="shared" si="5"/>
        <v/>
      </c>
      <c r="AF9" s="137" t="str">
        <f t="shared" si="6"/>
        <v/>
      </c>
      <c r="AG9" s="138"/>
      <c r="AH9" s="98"/>
      <c r="AI9" s="140"/>
      <c r="AJ9" s="141"/>
      <c r="AK9" s="141"/>
      <c r="AL9" s="98"/>
      <c r="AM9" s="140"/>
    </row>
    <row r="10" spans="1:39" s="164" customFormat="1" ht="151.5" customHeight="1" x14ac:dyDescent="0.35">
      <c r="A10" s="394">
        <v>2</v>
      </c>
      <c r="B10" s="369" t="s">
        <v>327</v>
      </c>
      <c r="C10" s="390" t="s">
        <v>376</v>
      </c>
      <c r="D10" s="390" t="s">
        <v>191</v>
      </c>
      <c r="E10" s="377" t="s">
        <v>120</v>
      </c>
      <c r="F10" s="381" t="s">
        <v>435</v>
      </c>
      <c r="G10" s="414" t="s">
        <v>436</v>
      </c>
      <c r="H10" s="416" t="s">
        <v>377</v>
      </c>
      <c r="I10" s="377" t="s">
        <v>328</v>
      </c>
      <c r="J10" s="375">
        <v>160</v>
      </c>
      <c r="K10" s="372" t="str">
        <f>IF(J10&lt;=0,"",IF(J10&lt;=2,"Muy Baja",IF(J10&lt;=24,"Baja",IF(J10&lt;=500,"Media",IF(J10&lt;=5000,"Alta","Muy Alta")))))</f>
        <v>Media</v>
      </c>
      <c r="L10" s="385">
        <f>IF(K10="","",IF(K10="Muy Baja",0.2,IF(K10="Baja",0.4,IF(K10="Media",0.6,IF(K10="Alta",0.8,IF(K10="Muy Alta",1,))))))</f>
        <v>0.6</v>
      </c>
      <c r="M10" s="388" t="s">
        <v>486</v>
      </c>
      <c r="N10" s="129"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372" t="str">
        <f>IF(OR(N10='Tabla Impacto'!$C$11,N10='Tabla Impacto'!$D$11),"Leve",IF(OR(N10='Tabla Impacto'!$C$12,N10='Tabla Impacto'!$D$12),"Menor",IF(OR(N10='Tabla Impacto'!$C$13,N10='Tabla Impacto'!$D$13),"Moderado",IF(OR(N10='Tabla Impacto'!$C$14,N10='Tabla Impacto'!$D$14),"Mayor",IF(OR(N10='Tabla Impacto'!$C$15,N10='Tabla Impacto'!$D$15),"Catastrófico","")))))</f>
        <v>Moderado</v>
      </c>
      <c r="P10" s="385">
        <f>IF(O10="","",IF(O10="Leve",0.2,IF(O10="Menor",0.4,IF(O10="Moderado",0.6,IF(O10="Mayor",0.8,IF(O10="Catastrófico",1,))))))</f>
        <v>0.6</v>
      </c>
      <c r="Q10" s="382"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30">
        <v>1</v>
      </c>
      <c r="S10" s="98" t="s">
        <v>197</v>
      </c>
      <c r="T10" s="131" t="str">
        <f t="shared" ref="T10:T13" si="7">IF(OR(U10="Preventivo",U10="Detectivo"),"Probabilidad",IF(U10="Correctivo","Impacto",""))</f>
        <v>Probabilidad</v>
      </c>
      <c r="U10" s="132" t="s">
        <v>14</v>
      </c>
      <c r="V10" s="132" t="s">
        <v>9</v>
      </c>
      <c r="W10" s="133" t="str">
        <f t="shared" ref="W10:W13" si="8">IF(AND(U10="Preventivo",V10="Automático"),"50%",IF(AND(U10="Preventivo",V10="Manual"),"40%",IF(AND(U10="Detectivo",V10="Automático"),"40%",IF(AND(U10="Detectivo",V10="Manual"),"30%",IF(AND(U10="Correctivo",V10="Automático"),"35%",IF(AND(U10="Correctivo",V10="Manual"),"25%",""))))))</f>
        <v>40%</v>
      </c>
      <c r="X10" s="132" t="s">
        <v>19</v>
      </c>
      <c r="Y10" s="132" t="s">
        <v>22</v>
      </c>
      <c r="Z10" s="132" t="s">
        <v>110</v>
      </c>
      <c r="AA10" s="134">
        <f t="shared" ref="AA10:AA13" si="9">IFERROR(IF(T10="Probabilidad",(L10-(+L10*W10)),IF(T10="Impacto",L10,"")),"")</f>
        <v>0.36</v>
      </c>
      <c r="AB10" s="135" t="str">
        <f t="shared" ref="AB10:AB13" si="10">IFERROR(IF(AA10="","",IF(AA10&lt;=0.2,"Muy Baja",IF(AA10&lt;=0.4,"Baja",IF(AA10&lt;=0.6,"Media",IF(AA10&lt;=0.8,"Alta","Muy Alta"))))),"")</f>
        <v>Baja</v>
      </c>
      <c r="AC10" s="136">
        <f t="shared" ref="AC10:AC13" si="11">+AA10</f>
        <v>0.36</v>
      </c>
      <c r="AD10" s="135" t="str">
        <f t="shared" ref="AD10:AD13" si="12">IFERROR(IF(AE10="","",IF(AE10&lt;=0.2,"Leve",IF(AE10&lt;=0.4,"Menor",IF(AE10&lt;=0.6,"Moderado",IF(AE10&lt;=0.8,"Mayor","Catastrófico"))))),"")</f>
        <v>Moderado</v>
      </c>
      <c r="AE10" s="136">
        <f t="shared" ref="AE10:AE13" si="13">IFERROR(IF(T10="Impacto",(P10-(+P10*W10)),IF(T10="Probabilidad",P10,"")),"")</f>
        <v>0.6</v>
      </c>
      <c r="AF10" s="137" t="str">
        <f t="shared" ref="AF10:AF13"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38" t="s">
        <v>122</v>
      </c>
      <c r="AH10" s="119" t="s">
        <v>378</v>
      </c>
      <c r="AI10" s="127" t="s">
        <v>198</v>
      </c>
      <c r="AJ10" s="143" t="s">
        <v>199</v>
      </c>
      <c r="AK10" s="143" t="s">
        <v>199</v>
      </c>
      <c r="AL10" s="119" t="s">
        <v>379</v>
      </c>
      <c r="AM10" s="140"/>
    </row>
    <row r="11" spans="1:39" s="164" customFormat="1" ht="151.5" customHeight="1" x14ac:dyDescent="0.35">
      <c r="A11" s="394"/>
      <c r="B11" s="370"/>
      <c r="C11" s="393"/>
      <c r="D11" s="391"/>
      <c r="E11" s="378"/>
      <c r="F11" s="378"/>
      <c r="G11" s="415"/>
      <c r="H11" s="417"/>
      <c r="I11" s="378"/>
      <c r="J11" s="376"/>
      <c r="K11" s="373"/>
      <c r="L11" s="386"/>
      <c r="M11" s="389"/>
      <c r="N11" s="142"/>
      <c r="O11" s="373"/>
      <c r="P11" s="386"/>
      <c r="Q11" s="383"/>
      <c r="R11" s="130">
        <v>2</v>
      </c>
      <c r="S11" s="98"/>
      <c r="T11" s="131" t="str">
        <f t="shared" ref="T11:T12" si="15">IF(OR(U11="Preventivo",U11="Detectivo"),"Probabilidad",IF(U11="Correctivo","Impacto",""))</f>
        <v/>
      </c>
      <c r="U11" s="132"/>
      <c r="V11" s="132"/>
      <c r="W11" s="133"/>
      <c r="X11" s="132"/>
      <c r="Y11" s="132"/>
      <c r="Z11" s="132"/>
      <c r="AA11" s="134" t="str">
        <f>IFERROR(IF(T11="Probabilidad",(AA10-(+AA10*W11)),IF(T11="Impacto",L10,"")),"")</f>
        <v/>
      </c>
      <c r="AB11" s="135" t="str">
        <f t="shared" ref="AB11:AB12" si="16">IFERROR(IF(AA11="","",IF(AA11&lt;=0.2,"Muy Baja",IF(AA11&lt;=0.4,"Baja",IF(AA11&lt;=0.6,"Media",IF(AA11&lt;=0.8,"Alta","Muy Alta"))))),"")</f>
        <v/>
      </c>
      <c r="AC11" s="136" t="str">
        <f t="shared" ref="AC11:AC12" si="17">+AA11</f>
        <v/>
      </c>
      <c r="AD11" s="135" t="str">
        <f t="shared" ref="AD11:AD12" si="18">IFERROR(IF(AE11="","",IF(AE11&lt;=0.2,"Leve",IF(AE11&lt;=0.4,"Menor",IF(AE11&lt;=0.6,"Moderado",IF(AE11&lt;=0.8,"Mayor","Catastrófico"))))),"")</f>
        <v/>
      </c>
      <c r="AE11" s="136" t="str">
        <f>IFERROR(IF(T11="Impacto",(P10-(+P10*W11)),IF(T11="Probabilidad",P10,"")),"")</f>
        <v/>
      </c>
      <c r="AF11" s="137" t="str">
        <f t="shared" ref="AF11:AF12" si="19">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38"/>
      <c r="AH11" s="119"/>
      <c r="AI11" s="127"/>
      <c r="AJ11" s="143"/>
      <c r="AK11" s="143"/>
      <c r="AL11" s="119"/>
      <c r="AM11" s="140"/>
    </row>
    <row r="12" spans="1:39" s="164" customFormat="1" ht="151.5" customHeight="1" x14ac:dyDescent="0.35">
      <c r="A12" s="394"/>
      <c r="B12" s="371"/>
      <c r="C12" s="393"/>
      <c r="D12" s="391"/>
      <c r="E12" s="378"/>
      <c r="F12" s="378"/>
      <c r="G12" s="415"/>
      <c r="H12" s="417"/>
      <c r="I12" s="378"/>
      <c r="J12" s="376"/>
      <c r="K12" s="374"/>
      <c r="L12" s="387"/>
      <c r="M12" s="389"/>
      <c r="N12" s="142"/>
      <c r="O12" s="374"/>
      <c r="P12" s="387"/>
      <c r="Q12" s="384"/>
      <c r="R12" s="130">
        <v>3</v>
      </c>
      <c r="S12" s="98"/>
      <c r="T12" s="131" t="str">
        <f t="shared" si="15"/>
        <v/>
      </c>
      <c r="U12" s="132"/>
      <c r="V12" s="132"/>
      <c r="W12" s="133"/>
      <c r="X12" s="132"/>
      <c r="Y12" s="132"/>
      <c r="Z12" s="132"/>
      <c r="AA12" s="134" t="str">
        <f>IFERROR(IF(T12="Probabilidad",(AA11-(+AA11*W12)),IF(T12="Impacto",L10,"")),"")</f>
        <v/>
      </c>
      <c r="AB12" s="135" t="str">
        <f t="shared" si="16"/>
        <v/>
      </c>
      <c r="AC12" s="136" t="str">
        <f t="shared" si="17"/>
        <v/>
      </c>
      <c r="AD12" s="135" t="str">
        <f t="shared" si="18"/>
        <v/>
      </c>
      <c r="AE12" s="136" t="str">
        <f>IFERROR(IF(T12="Impacto",(P10-(+P10*W12)),IF(T12="Probabilidad",P10,"")),"")</f>
        <v/>
      </c>
      <c r="AF12" s="137" t="str">
        <f t="shared" si="19"/>
        <v/>
      </c>
      <c r="AG12" s="138"/>
      <c r="AH12" s="119"/>
      <c r="AI12" s="127"/>
      <c r="AJ12" s="143"/>
      <c r="AK12" s="143"/>
      <c r="AL12" s="119"/>
      <c r="AM12" s="140"/>
    </row>
    <row r="13" spans="1:39" s="220" customFormat="1" ht="151.5" customHeight="1" x14ac:dyDescent="0.35">
      <c r="A13" s="394">
        <v>3</v>
      </c>
      <c r="B13" s="369" t="s">
        <v>200</v>
      </c>
      <c r="C13" s="390" t="s">
        <v>354</v>
      </c>
      <c r="D13" s="390" t="s">
        <v>374</v>
      </c>
      <c r="E13" s="377" t="s">
        <v>118</v>
      </c>
      <c r="F13" s="377" t="s">
        <v>437</v>
      </c>
      <c r="G13" s="377" t="s">
        <v>201</v>
      </c>
      <c r="H13" s="379" t="s">
        <v>380</v>
      </c>
      <c r="I13" s="377" t="s">
        <v>328</v>
      </c>
      <c r="J13" s="375">
        <v>5000</v>
      </c>
      <c r="K13" s="372" t="str">
        <f>IF(J13&lt;=0,"",IF(J13&lt;=2,"Muy Baja",IF(J13&lt;=24,"Baja",IF(J13&lt;=500,"Media",IF(J13&lt;=5000,"Alta","Muy Alta")))))</f>
        <v>Alta</v>
      </c>
      <c r="L13" s="385">
        <f>IF(K13="","",IF(K13="Muy Baja",0.2,IF(K13="Baja",0.4,IF(K13="Media",0.6,IF(K13="Alta",0.8,IF(K13="Muy Alta",1,))))))</f>
        <v>0.8</v>
      </c>
      <c r="M13" s="388" t="s">
        <v>486</v>
      </c>
      <c r="N13" s="129"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372" t="str">
        <f>IF(OR(N13='Tabla Impacto'!$C$11,N13='Tabla Impacto'!$D$11),"Leve",IF(OR(N13='Tabla Impacto'!$C$12,N13='Tabla Impacto'!$D$12),"Menor",IF(OR(N13='Tabla Impacto'!$C$13,N13='Tabla Impacto'!$D$13),"Moderado",IF(OR(N13='Tabla Impacto'!$C$14,N13='Tabla Impacto'!$D$14),"Mayor",IF(OR(N13='Tabla Impacto'!$C$15,N13='Tabla Impacto'!$D$15),"Catastrófico","")))))</f>
        <v>Moderado</v>
      </c>
      <c r="P13" s="385">
        <f>IF(O13="","",IF(O13="Leve",0.2,IF(O13="Menor",0.4,IF(O13="Moderado",0.6,IF(O13="Mayor",0.8,IF(O13="Catastrófico",1,))))))</f>
        <v>0.6</v>
      </c>
      <c r="Q13" s="382"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30">
        <v>1</v>
      </c>
      <c r="S13" s="98" t="s">
        <v>202</v>
      </c>
      <c r="T13" s="131" t="str">
        <f t="shared" si="7"/>
        <v>Probabilidad</v>
      </c>
      <c r="U13" s="132" t="s">
        <v>14</v>
      </c>
      <c r="V13" s="132" t="s">
        <v>9</v>
      </c>
      <c r="W13" s="133" t="str">
        <f t="shared" si="8"/>
        <v>40%</v>
      </c>
      <c r="X13" s="132" t="s">
        <v>19</v>
      </c>
      <c r="Y13" s="132" t="s">
        <v>22</v>
      </c>
      <c r="Z13" s="132" t="s">
        <v>110</v>
      </c>
      <c r="AA13" s="134">
        <f t="shared" si="9"/>
        <v>0.48</v>
      </c>
      <c r="AB13" s="135" t="str">
        <f t="shared" si="10"/>
        <v>Media</v>
      </c>
      <c r="AC13" s="136">
        <f t="shared" si="11"/>
        <v>0.48</v>
      </c>
      <c r="AD13" s="135" t="str">
        <f t="shared" si="12"/>
        <v>Moderado</v>
      </c>
      <c r="AE13" s="136">
        <f t="shared" si="13"/>
        <v>0.6</v>
      </c>
      <c r="AF13" s="137" t="str">
        <f t="shared" si="14"/>
        <v>Moderado</v>
      </c>
      <c r="AG13" s="138" t="s">
        <v>122</v>
      </c>
      <c r="AH13" s="126" t="s">
        <v>381</v>
      </c>
      <c r="AI13" s="144" t="s">
        <v>203</v>
      </c>
      <c r="AJ13" s="143" t="s">
        <v>199</v>
      </c>
      <c r="AK13" s="143" t="s">
        <v>199</v>
      </c>
      <c r="AL13" s="119" t="s">
        <v>382</v>
      </c>
      <c r="AM13" s="140"/>
    </row>
    <row r="14" spans="1:39" s="220" customFormat="1" ht="151.5" customHeight="1" x14ac:dyDescent="0.35">
      <c r="A14" s="394"/>
      <c r="B14" s="370"/>
      <c r="C14" s="393"/>
      <c r="D14" s="393"/>
      <c r="E14" s="378"/>
      <c r="F14" s="378"/>
      <c r="G14" s="378"/>
      <c r="H14" s="380"/>
      <c r="I14" s="378"/>
      <c r="J14" s="376"/>
      <c r="K14" s="373"/>
      <c r="L14" s="386"/>
      <c r="M14" s="389"/>
      <c r="N14" s="142"/>
      <c r="O14" s="373"/>
      <c r="P14" s="386"/>
      <c r="Q14" s="383"/>
      <c r="R14" s="130">
        <v>2</v>
      </c>
      <c r="S14" s="145"/>
      <c r="T14" s="131" t="str">
        <f t="shared" ref="T14:T15" si="20">IF(OR(U14="Preventivo",U14="Detectivo"),"Probabilidad",IF(U14="Correctivo","Impacto",""))</f>
        <v/>
      </c>
      <c r="U14" s="132"/>
      <c r="V14" s="132"/>
      <c r="W14" s="133"/>
      <c r="X14" s="132"/>
      <c r="Y14" s="132"/>
      <c r="Z14" s="132"/>
      <c r="AA14" s="134" t="str">
        <f>IFERROR(IF(T14="Probabilidad",(AA13-(+AA13*W14)),IF(T14="Impacto",L13,"")),"")</f>
        <v/>
      </c>
      <c r="AB14" s="135" t="str">
        <f t="shared" ref="AB14:AB15" si="21">IFERROR(IF(AA14="","",IF(AA14&lt;=0.2,"Muy Baja",IF(AA14&lt;=0.4,"Baja",IF(AA14&lt;=0.6,"Media",IF(AA14&lt;=0.8,"Alta","Muy Alta"))))),"")</f>
        <v/>
      </c>
      <c r="AC14" s="136" t="str">
        <f t="shared" ref="AC14:AC15" si="22">+AA14</f>
        <v/>
      </c>
      <c r="AD14" s="135" t="str">
        <f t="shared" ref="AD14:AD15" si="23">IFERROR(IF(AE14="","",IF(AE14&lt;=0.2,"Leve",IF(AE14&lt;=0.4,"Menor",IF(AE14&lt;=0.6,"Moderado",IF(AE14&lt;=0.8,"Mayor","Catastrófico"))))),"")</f>
        <v/>
      </c>
      <c r="AE14" s="136" t="str">
        <f>IFERROR(IF(T14="Impacto",(P13-(+P13*W14)),IF(T14="Probabilidad",P13,"")),"")</f>
        <v/>
      </c>
      <c r="AF14" s="137" t="str">
        <f t="shared" ref="AF14:AF15" si="24">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38"/>
      <c r="AH14" s="119"/>
      <c r="AI14" s="127"/>
      <c r="AJ14" s="143"/>
      <c r="AK14" s="143"/>
      <c r="AL14" s="119"/>
      <c r="AM14" s="140"/>
    </row>
    <row r="15" spans="1:39" s="220" customFormat="1" ht="151.5" customHeight="1" x14ac:dyDescent="0.35">
      <c r="A15" s="394"/>
      <c r="B15" s="371"/>
      <c r="C15" s="393"/>
      <c r="D15" s="393"/>
      <c r="E15" s="378"/>
      <c r="F15" s="424"/>
      <c r="G15" s="424"/>
      <c r="H15" s="425"/>
      <c r="I15" s="378"/>
      <c r="J15" s="376"/>
      <c r="K15" s="374"/>
      <c r="L15" s="387"/>
      <c r="M15" s="389"/>
      <c r="N15" s="142"/>
      <c r="O15" s="374"/>
      <c r="P15" s="387"/>
      <c r="Q15" s="384"/>
      <c r="R15" s="130">
        <v>3</v>
      </c>
      <c r="S15" s="145"/>
      <c r="T15" s="131" t="str">
        <f t="shared" si="20"/>
        <v/>
      </c>
      <c r="U15" s="132"/>
      <c r="V15" s="132"/>
      <c r="W15" s="133"/>
      <c r="X15" s="132"/>
      <c r="Y15" s="132"/>
      <c r="Z15" s="132"/>
      <c r="AA15" s="134" t="str">
        <f>IFERROR(IF(T15="Probabilidad",(AA14-(+AA14*W15)),IF(T15="Impacto",L13,"")),"")</f>
        <v/>
      </c>
      <c r="AB15" s="135" t="str">
        <f t="shared" si="21"/>
        <v/>
      </c>
      <c r="AC15" s="136" t="str">
        <f t="shared" si="22"/>
        <v/>
      </c>
      <c r="AD15" s="135" t="str">
        <f t="shared" si="23"/>
        <v/>
      </c>
      <c r="AE15" s="136" t="str">
        <f>IFERROR(IF(T15="Impacto",(P13-(+P13*W15)),IF(T15="Probabilidad",P13,"")),"")</f>
        <v/>
      </c>
      <c r="AF15" s="137" t="str">
        <f t="shared" si="24"/>
        <v/>
      </c>
      <c r="AG15" s="138"/>
      <c r="AH15" s="119"/>
      <c r="AI15" s="127"/>
      <c r="AJ15" s="143"/>
      <c r="AK15" s="143"/>
      <c r="AL15" s="119"/>
      <c r="AM15" s="140"/>
    </row>
    <row r="16" spans="1:39" s="232" customFormat="1" ht="162" customHeight="1" x14ac:dyDescent="0.35">
      <c r="A16" s="418">
        <v>4</v>
      </c>
      <c r="B16" s="419" t="s">
        <v>519</v>
      </c>
      <c r="C16" s="422" t="s">
        <v>520</v>
      </c>
      <c r="D16" s="422" t="s">
        <v>521</v>
      </c>
      <c r="E16" s="379" t="s">
        <v>118</v>
      </c>
      <c r="F16" s="400" t="s">
        <v>438</v>
      </c>
      <c r="G16" s="400" t="s">
        <v>556</v>
      </c>
      <c r="H16" s="379" t="s">
        <v>557</v>
      </c>
      <c r="I16" s="379" t="s">
        <v>328</v>
      </c>
      <c r="J16" s="401">
        <v>52</v>
      </c>
      <c r="K16" s="403" t="str">
        <f>IF(J16&lt;=0,"",IF(J16&lt;=2,"Muy Baja",IF(J16&lt;=24,"Baja",IF(J16&lt;=500,"Media",IF(J16&lt;=5000,"Alta","Muy Alta")))))</f>
        <v>Media</v>
      </c>
      <c r="L16" s="406">
        <f>IF(K16="","",IF(K16="Muy Baja",0.2,IF(K16="Baja",0.4,IF(K16="Media",0.6,IF(K16="Alta",0.8,IF(K16="Muy Alta",1,))))))</f>
        <v>0.6</v>
      </c>
      <c r="M16" s="409" t="s">
        <v>486</v>
      </c>
      <c r="N16" s="216" t="str">
        <f>IF(NOT(ISERROR(MATCH(M16,'Tabla Impacto'!$B$221:$B$223,0))),'Tabla Impacto'!$F$223&amp;"Por favor no seleccionar los criterios de impacto(Afectación Económica o presupuestal y Pérdida Reputacional)",M16)</f>
        <v xml:space="preserve"> El riesgo afecta la imagen de la entidad con algunos usuarios de relevancia frente al logro de los objetivos</v>
      </c>
      <c r="O16" s="403" t="str">
        <f>IF(OR(N16='Tabla Impacto'!$C$11,N16='Tabla Impacto'!$D$11),"Leve",IF(OR(N16='Tabla Impacto'!$C$12,N16='Tabla Impacto'!$D$12),"Menor",IF(OR(N16='Tabla Impacto'!$C$13,N16='Tabla Impacto'!$D$13),"Moderado",IF(OR(N16='Tabla Impacto'!$C$14,N16='Tabla Impacto'!$D$14),"Mayor",IF(OR(N16='Tabla Impacto'!$C$15,N16='Tabla Impacto'!$D$15),"Catastrófico","")))))</f>
        <v>Moderado</v>
      </c>
      <c r="P16" s="406">
        <f>IF(O16="","",IF(O16="Leve",0.2,IF(O16="Menor",0.4,IF(O16="Moderado",0.6,IF(O16="Mayor",0.8,IF(O16="Catastrófico",1,))))))</f>
        <v>0.6</v>
      </c>
      <c r="Q16" s="411"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208">
        <v>1</v>
      </c>
      <c r="S16" s="139" t="s">
        <v>558</v>
      </c>
      <c r="T16" s="209" t="str">
        <f t="shared" ref="T16:T106" si="25">IF(OR(U16="Preventivo",U16="Detectivo"),"Probabilidad",IF(U16="Correctivo","Impacto",""))</f>
        <v>Probabilidad</v>
      </c>
      <c r="U16" s="210" t="s">
        <v>15</v>
      </c>
      <c r="V16" s="210" t="s">
        <v>9</v>
      </c>
      <c r="W16" s="211" t="str">
        <f t="shared" ref="W16:W106" si="26">IF(AND(U16="Preventivo",V16="Automático"),"50%",IF(AND(U16="Preventivo",V16="Manual"),"40%",IF(AND(U16="Detectivo",V16="Automático"),"40%",IF(AND(U16="Detectivo",V16="Manual"),"30%",IF(AND(U16="Correctivo",V16="Automático"),"35%",IF(AND(U16="Correctivo",V16="Manual"),"25%",""))))))</f>
        <v>30%</v>
      </c>
      <c r="X16" s="210" t="s">
        <v>19</v>
      </c>
      <c r="Y16" s="210" t="s">
        <v>22</v>
      </c>
      <c r="Z16" s="210" t="s">
        <v>110</v>
      </c>
      <c r="AA16" s="161">
        <f t="shared" ref="AA16:AA106" si="27">IFERROR(IF(T16="Probabilidad",(L16-(+L16*W16)),IF(T16="Impacto",L16,"")),"")</f>
        <v>0.42</v>
      </c>
      <c r="AB16" s="212" t="str">
        <f t="shared" ref="AB16:AB106" si="28">IFERROR(IF(AA16="","",IF(AA16&lt;=0.2,"Muy Baja",IF(AA16&lt;=0.4,"Baja",IF(AA16&lt;=0.6,"Media",IF(AA16&lt;=0.8,"Alta","Muy Alta"))))),"")</f>
        <v>Media</v>
      </c>
      <c r="AC16" s="213">
        <f t="shared" ref="AC16:AC106" si="29">+AA16</f>
        <v>0.42</v>
      </c>
      <c r="AD16" s="212" t="str">
        <f t="shared" ref="AD16:AD106" si="30">IFERROR(IF(AE16="","",IF(AE16&lt;=0.2,"Leve",IF(AE16&lt;=0.4,"Menor",IF(AE16&lt;=0.6,"Moderado",IF(AE16&lt;=0.8,"Mayor","Catastrófico"))))),"")</f>
        <v>Moderado</v>
      </c>
      <c r="AE16" s="213">
        <f t="shared" ref="AE16:AE106" si="31">IFERROR(IF(T16="Impacto",(P16-(+P16*W16)),IF(T16="Probabilidad",P16,"")),"")</f>
        <v>0.6</v>
      </c>
      <c r="AF16" s="214" t="str">
        <f t="shared" ref="AF16:AF106" si="32">IFERROR(IF(OR(AND(AB16="Muy Baja",AD16="Leve"),AND(AB16="Muy Baja",AD16="Menor"),AND(AB16="Baja",AD16="Leve")),"Bajo",IF(OR(AND(AB16="Muy baja",AD16="Moderado"),AND(AB16="Baja",AD16="Menor"),AND(AB16="Baja",AD16="Moderado"),AND(AB16="Media",AD16="Leve"),AND(AB16="Media",AD16="Menor"),AND(AB16="Media",AD16="Moderado"),AND(AB16="Alta",AD16="Leve"),AND(AB16="Alta",AD16="Menor")),"Moderado",IF(OR(AND(AB16="Muy Baja",AD16="Mayor"),AND(AB16="Baja",AD16="Mayor"),AND(AB16="Media",AD16="Mayor"),AND(AB16="Alta",AD16="Moderado"),AND(AB16="Alta",AD16="Mayor"),AND(AB16="Muy Alta",AD16="Leve"),AND(AB16="Muy Alta",AD16="Menor"),AND(AB16="Muy Alta",AD16="Moderado"),AND(AB16="Muy Alta",AD16="Mayor")),"Alto",IF(OR(AND(AB16="Muy Baja",AD16="Catastrófico"),AND(AB16="Baja",AD16="Catastrófico"),AND(AB16="Media",AD16="Catastrófico"),AND(AB16="Alta",AD16="Catastrófico"),AND(AB16="Muy Alta",AD16="Catastrófico")),"Extremo","")))),"")</f>
        <v>Moderado</v>
      </c>
      <c r="AG16" s="215" t="s">
        <v>122</v>
      </c>
      <c r="AH16" s="126" t="s">
        <v>555</v>
      </c>
      <c r="AI16" s="146" t="s">
        <v>260</v>
      </c>
      <c r="AJ16" s="128" t="s">
        <v>199</v>
      </c>
      <c r="AK16" s="128" t="s">
        <v>199</v>
      </c>
      <c r="AL16" s="126" t="s">
        <v>559</v>
      </c>
      <c r="AM16" s="231"/>
    </row>
    <row r="17" spans="1:39" s="232" customFormat="1" ht="151.5" customHeight="1" x14ac:dyDescent="0.35">
      <c r="A17" s="418"/>
      <c r="B17" s="420"/>
      <c r="C17" s="423"/>
      <c r="D17" s="423"/>
      <c r="E17" s="380"/>
      <c r="F17" s="380"/>
      <c r="G17" s="380"/>
      <c r="H17" s="380"/>
      <c r="I17" s="380"/>
      <c r="J17" s="402"/>
      <c r="K17" s="404"/>
      <c r="L17" s="407"/>
      <c r="M17" s="410"/>
      <c r="N17" s="217"/>
      <c r="O17" s="404"/>
      <c r="P17" s="407"/>
      <c r="Q17" s="412"/>
      <c r="R17" s="208">
        <v>2</v>
      </c>
      <c r="S17" s="139"/>
      <c r="T17" s="209" t="str">
        <f t="shared" ref="T17:T18" si="33">IF(OR(U17="Preventivo",U17="Detectivo"),"Probabilidad",IF(U17="Correctivo","Impacto",""))</f>
        <v/>
      </c>
      <c r="U17" s="210"/>
      <c r="V17" s="210"/>
      <c r="W17" s="211"/>
      <c r="X17" s="210"/>
      <c r="Y17" s="210"/>
      <c r="Z17" s="210"/>
      <c r="AA17" s="161" t="str">
        <f>IFERROR(IF(T17="Probabilidad",(AA16-(+AA16*W17)),IF(T17="Impacto",L17,"")),"")</f>
        <v/>
      </c>
      <c r="AB17" s="212" t="str">
        <f t="shared" ref="AB17:AB18" si="34">IFERROR(IF(AA17="","",IF(AA17&lt;=0.2,"Muy Baja",IF(AA17&lt;=0.4,"Baja",IF(AA17&lt;=0.6,"Media",IF(AA17&lt;=0.8,"Alta","Muy Alta"))))),"")</f>
        <v/>
      </c>
      <c r="AC17" s="213" t="str">
        <f t="shared" ref="AC17:AC18" si="35">+AA17</f>
        <v/>
      </c>
      <c r="AD17" s="212" t="str">
        <f t="shared" ref="AD17:AD18" si="36">IFERROR(IF(AE17="","",IF(AE17&lt;=0.2,"Leve",IF(AE17&lt;=0.4,"Menor",IF(AE17&lt;=0.6,"Moderado",IF(AE17&lt;=0.8,"Mayor","Catastrófico"))))),"")</f>
        <v/>
      </c>
      <c r="AE17" s="213" t="str">
        <f t="shared" ref="AE17:AE18" si="37">IFERROR(IF(T17="Impacto",(P17-(+P17*W17)),IF(T17="Probabilidad",P17,"")),"")</f>
        <v/>
      </c>
      <c r="AF17" s="214" t="str">
        <f t="shared" ref="AF17:AF18" si="38">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
      </c>
      <c r="AG17" s="215"/>
      <c r="AH17" s="126"/>
      <c r="AI17" s="121"/>
      <c r="AJ17" s="128"/>
      <c r="AK17" s="128"/>
      <c r="AL17" s="126"/>
      <c r="AM17" s="231"/>
    </row>
    <row r="18" spans="1:39" s="232" customFormat="1" ht="151.5" customHeight="1" x14ac:dyDescent="0.35">
      <c r="A18" s="418"/>
      <c r="B18" s="421"/>
      <c r="C18" s="423"/>
      <c r="D18" s="423"/>
      <c r="E18" s="380"/>
      <c r="F18" s="380"/>
      <c r="G18" s="380"/>
      <c r="H18" s="380"/>
      <c r="I18" s="380"/>
      <c r="J18" s="402"/>
      <c r="K18" s="405"/>
      <c r="L18" s="408"/>
      <c r="M18" s="410"/>
      <c r="N18" s="217"/>
      <c r="O18" s="405"/>
      <c r="P18" s="408"/>
      <c r="Q18" s="413"/>
      <c r="R18" s="208">
        <v>3</v>
      </c>
      <c r="S18" s="139"/>
      <c r="T18" s="209" t="str">
        <f t="shared" si="33"/>
        <v/>
      </c>
      <c r="U18" s="210"/>
      <c r="V18" s="210"/>
      <c r="W18" s="211"/>
      <c r="X18" s="210"/>
      <c r="Y18" s="210"/>
      <c r="Z18" s="210"/>
      <c r="AA18" s="161" t="str">
        <f>IFERROR(IF(T18="Probabilidad",(AA17-(+AA17*W18)),IF(T18="Impacto",L18,"")),"")</f>
        <v/>
      </c>
      <c r="AB18" s="212" t="str">
        <f t="shared" si="34"/>
        <v/>
      </c>
      <c r="AC18" s="213" t="str">
        <f t="shared" si="35"/>
        <v/>
      </c>
      <c r="AD18" s="212" t="str">
        <f t="shared" si="36"/>
        <v/>
      </c>
      <c r="AE18" s="213" t="str">
        <f t="shared" si="37"/>
        <v/>
      </c>
      <c r="AF18" s="214" t="str">
        <f t="shared" si="38"/>
        <v/>
      </c>
      <c r="AG18" s="215"/>
      <c r="AH18" s="126"/>
      <c r="AI18" s="121"/>
      <c r="AJ18" s="128"/>
      <c r="AK18" s="128"/>
      <c r="AL18" s="126"/>
      <c r="AM18" s="231"/>
    </row>
    <row r="19" spans="1:39" s="232" customFormat="1" ht="151.5" customHeight="1" x14ac:dyDescent="0.35">
      <c r="A19" s="394">
        <v>5</v>
      </c>
      <c r="B19" s="369" t="s">
        <v>206</v>
      </c>
      <c r="C19" s="390" t="s">
        <v>207</v>
      </c>
      <c r="D19" s="390" t="s">
        <v>375</v>
      </c>
      <c r="E19" s="377" t="s">
        <v>118</v>
      </c>
      <c r="F19" s="377" t="s">
        <v>208</v>
      </c>
      <c r="G19" s="377" t="s">
        <v>209</v>
      </c>
      <c r="H19" s="379" t="s">
        <v>549</v>
      </c>
      <c r="I19" s="377" t="s">
        <v>115</v>
      </c>
      <c r="J19" s="375">
        <v>1</v>
      </c>
      <c r="K19" s="372" t="str">
        <f>IF(J19&lt;=0,"",IF(J19&lt;=2,"Muy Baja",IF(J19&lt;=24,"Baja",IF(J19&lt;=500,"Media",IF(J19&lt;=5000,"Alta","Muy Alta")))))</f>
        <v>Muy Baja</v>
      </c>
      <c r="L19" s="385">
        <f>IF(K19="","",IF(K19="Muy Baja",0.2,IF(K19="Baja",0.4,IF(K19="Media",0.6,IF(K19="Alta",0.8,IF(K19="Muy Alta",1,))))))</f>
        <v>0.2</v>
      </c>
      <c r="M19" s="388" t="s">
        <v>486</v>
      </c>
      <c r="N19" s="216" t="str">
        <f>IF(NOT(ISERROR(MATCH(M19,'Tabla Impacto'!$B$221:$B$223,0))),'Tabla Impacto'!$F$223&amp;"Por favor no seleccionar los criterios de impacto(Afectación Económica o presupuestal y Pérdida Reputacional)",M19)</f>
        <v xml:space="preserve"> El riesgo afecta la imagen de la entidad con algunos usuarios de relevancia frente al logro de los objetivos</v>
      </c>
      <c r="O19" s="372" t="str">
        <f>IF(OR(N19='Tabla Impacto'!$C$11,N19='Tabla Impacto'!$D$11),"Leve",IF(OR(N19='Tabla Impacto'!$C$12,N19='Tabla Impacto'!$D$12),"Menor",IF(OR(N19='Tabla Impacto'!$C$13,N19='Tabla Impacto'!$D$13),"Moderado",IF(OR(N19='Tabla Impacto'!$C$14,N19='Tabla Impacto'!$D$14),"Mayor",IF(OR(N19='Tabla Impacto'!$C$15,N19='Tabla Impacto'!$D$15),"Catastrófico","")))))</f>
        <v>Moderado</v>
      </c>
      <c r="P19" s="385">
        <f>IF(O19="","",IF(O19="Leve",0.2,IF(O19="Menor",0.4,IF(O19="Moderado",0.6,IF(O19="Mayor",0.8,IF(O19="Catastrófico",1,))))))</f>
        <v>0.6</v>
      </c>
      <c r="Q19" s="382" t="str">
        <f>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208">
        <v>1</v>
      </c>
      <c r="S19" s="139" t="s">
        <v>210</v>
      </c>
      <c r="T19" s="209" t="str">
        <f t="shared" si="25"/>
        <v>Probabilidad</v>
      </c>
      <c r="U19" s="210" t="s">
        <v>14</v>
      </c>
      <c r="V19" s="210" t="s">
        <v>9</v>
      </c>
      <c r="W19" s="211" t="str">
        <f t="shared" si="26"/>
        <v>40%</v>
      </c>
      <c r="X19" s="210" t="s">
        <v>19</v>
      </c>
      <c r="Y19" s="210" t="s">
        <v>22</v>
      </c>
      <c r="Z19" s="210" t="s">
        <v>110</v>
      </c>
      <c r="AA19" s="161">
        <f t="shared" si="27"/>
        <v>0.12</v>
      </c>
      <c r="AB19" s="212" t="str">
        <f t="shared" si="28"/>
        <v>Muy Baja</v>
      </c>
      <c r="AC19" s="213">
        <f t="shared" si="29"/>
        <v>0.12</v>
      </c>
      <c r="AD19" s="212" t="str">
        <f t="shared" si="30"/>
        <v>Moderado</v>
      </c>
      <c r="AE19" s="213">
        <f t="shared" si="31"/>
        <v>0.6</v>
      </c>
      <c r="AF19" s="214" t="str">
        <f t="shared" si="32"/>
        <v>Moderado</v>
      </c>
      <c r="AG19" s="215" t="s">
        <v>122</v>
      </c>
      <c r="AH19" s="126" t="s">
        <v>211</v>
      </c>
      <c r="AI19" s="121" t="s">
        <v>212</v>
      </c>
      <c r="AJ19" s="128">
        <v>44562</v>
      </c>
      <c r="AK19" s="128" t="s">
        <v>373</v>
      </c>
      <c r="AL19" s="126" t="s">
        <v>213</v>
      </c>
      <c r="AM19" s="231"/>
    </row>
    <row r="20" spans="1:39" s="232" customFormat="1" ht="151.5" customHeight="1" x14ac:dyDescent="0.35">
      <c r="A20" s="394"/>
      <c r="B20" s="370"/>
      <c r="C20" s="391"/>
      <c r="D20" s="393"/>
      <c r="E20" s="378"/>
      <c r="F20" s="378"/>
      <c r="G20" s="378"/>
      <c r="H20" s="380"/>
      <c r="I20" s="378"/>
      <c r="J20" s="376"/>
      <c r="K20" s="373"/>
      <c r="L20" s="386"/>
      <c r="M20" s="389"/>
      <c r="N20" s="217"/>
      <c r="O20" s="373"/>
      <c r="P20" s="386"/>
      <c r="Q20" s="383"/>
      <c r="R20" s="208">
        <v>2</v>
      </c>
      <c r="S20" s="139"/>
      <c r="T20" s="209" t="str">
        <f t="shared" ref="T20:T21" si="39">IF(OR(U20="Preventivo",U20="Detectivo"),"Probabilidad",IF(U20="Correctivo","Impacto",""))</f>
        <v/>
      </c>
      <c r="U20" s="233"/>
      <c r="V20" s="233"/>
      <c r="W20" s="234"/>
      <c r="X20" s="233"/>
      <c r="Y20" s="233"/>
      <c r="Z20" s="233"/>
      <c r="AA20" s="162" t="str">
        <f>IFERROR(IF(T20="Probabilidad",(AA19-(+AA19*W20)),IF(T20="Impacto",L20,"")),"")</f>
        <v/>
      </c>
      <c r="AB20" s="212" t="str">
        <f t="shared" ref="AB20:AB21" si="40">IFERROR(IF(AA20="","",IF(AA20&lt;=0.2,"Muy Baja",IF(AA20&lt;=0.4,"Baja",IF(AA20&lt;=0.6,"Media",IF(AA20&lt;=0.8,"Alta","Muy Alta"))))),"")</f>
        <v/>
      </c>
      <c r="AC20" s="235" t="str">
        <f t="shared" ref="AC20:AC21" si="41">+AA20</f>
        <v/>
      </c>
      <c r="AD20" s="212" t="str">
        <f t="shared" ref="AD20:AD21" si="42">IFERROR(IF(AE20="","",IF(AE20&lt;=0.2,"Leve",IF(AE20&lt;=0.4,"Menor",IF(AE20&lt;=0.6,"Moderado",IF(AE20&lt;=0.8,"Mayor","Catastrófico"))))),"")</f>
        <v/>
      </c>
      <c r="AE20" s="235" t="str">
        <f t="shared" ref="AE20:AE21" si="43">IFERROR(IF(T20="Impacto",(P20-(+P20*W20)),IF(T20="Probabilidad",P20,"")),"")</f>
        <v/>
      </c>
      <c r="AF20" s="236" t="str">
        <f t="shared" ref="AF20:AF21" si="44">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237"/>
      <c r="AH20" s="126"/>
      <c r="AI20" s="121"/>
      <c r="AJ20" s="128"/>
      <c r="AK20" s="128"/>
      <c r="AL20" s="126"/>
      <c r="AM20" s="231"/>
    </row>
    <row r="21" spans="1:39" s="164" customFormat="1" ht="151.5" customHeight="1" x14ac:dyDescent="0.35">
      <c r="A21" s="396"/>
      <c r="B21" s="371"/>
      <c r="C21" s="391"/>
      <c r="D21" s="393"/>
      <c r="E21" s="378"/>
      <c r="F21" s="378"/>
      <c r="G21" s="378"/>
      <c r="H21" s="380"/>
      <c r="I21" s="378"/>
      <c r="J21" s="376"/>
      <c r="K21" s="374"/>
      <c r="L21" s="387"/>
      <c r="M21" s="389"/>
      <c r="N21" s="142"/>
      <c r="O21" s="374"/>
      <c r="P21" s="387"/>
      <c r="Q21" s="384"/>
      <c r="R21" s="130">
        <v>3</v>
      </c>
      <c r="S21" s="98"/>
      <c r="T21" s="131" t="str">
        <f t="shared" si="39"/>
        <v/>
      </c>
      <c r="U21" s="147"/>
      <c r="V21" s="147"/>
      <c r="W21" s="148"/>
      <c r="X21" s="147"/>
      <c r="Y21" s="147"/>
      <c r="Z21" s="147"/>
      <c r="AA21" s="149" t="str">
        <f>IFERROR(IF(T21="Probabilidad",(AA20-(+AA20*W21)),IF(T21="Impacto",L21,"")),"")</f>
        <v/>
      </c>
      <c r="AB21" s="135" t="str">
        <f t="shared" si="40"/>
        <v/>
      </c>
      <c r="AC21" s="150" t="str">
        <f t="shared" si="41"/>
        <v/>
      </c>
      <c r="AD21" s="135" t="str">
        <f t="shared" si="42"/>
        <v/>
      </c>
      <c r="AE21" s="150" t="str">
        <f t="shared" si="43"/>
        <v/>
      </c>
      <c r="AF21" s="151" t="str">
        <f t="shared" si="44"/>
        <v/>
      </c>
      <c r="AG21" s="152"/>
      <c r="AH21" s="119"/>
      <c r="AI21" s="127"/>
      <c r="AJ21" s="143"/>
      <c r="AK21" s="143"/>
      <c r="AL21" s="119"/>
      <c r="AM21" s="140"/>
    </row>
    <row r="22" spans="1:39" s="164" customFormat="1" ht="172" customHeight="1" x14ac:dyDescent="0.35">
      <c r="A22" s="395">
        <v>6</v>
      </c>
      <c r="B22" s="369" t="s">
        <v>206</v>
      </c>
      <c r="C22" s="390" t="s">
        <v>207</v>
      </c>
      <c r="D22" s="390" t="s">
        <v>375</v>
      </c>
      <c r="E22" s="377" t="s">
        <v>119</v>
      </c>
      <c r="F22" s="381" t="s">
        <v>214</v>
      </c>
      <c r="G22" s="377" t="s">
        <v>215</v>
      </c>
      <c r="H22" s="379" t="s">
        <v>339</v>
      </c>
      <c r="I22" s="377" t="s">
        <v>328</v>
      </c>
      <c r="J22" s="375">
        <v>1</v>
      </c>
      <c r="K22" s="372" t="str">
        <f>IF(J22&lt;=0,"",IF(J22&lt;=2,"Muy Baja",IF(J22&lt;=24,"Baja",IF(J22&lt;=500,"Media",IF(J22&lt;=5000,"Alta","Muy Alta")))))</f>
        <v>Muy Baja</v>
      </c>
      <c r="L22" s="385">
        <f>IF(K22="","",IF(K22="Muy Baja",0.2,IF(K22="Baja",0.4,IF(K22="Media",0.6,IF(K22="Alta",0.8,IF(K22="Muy Alta",1,))))))</f>
        <v>0.2</v>
      </c>
      <c r="M22" s="388" t="s">
        <v>485</v>
      </c>
      <c r="N22" s="129" t="str">
        <f>IF(NOT(ISERROR(MATCH(M22,'Tabla Impacto'!$B$221:$B$223,0))),'Tabla Impacto'!$F$223&amp;"Por favor no seleccionar los criterios de impacto(Afectación Económica o presupuestal y Pérdida Reputacional)",M22)</f>
        <v xml:space="preserve"> Entre 50 y 100 SMLMV </v>
      </c>
      <c r="O22" s="372" t="str">
        <f>IF(OR(N22='Tabla Impacto'!$C$11,N22='Tabla Impacto'!$D$11),"Leve",IF(OR(N22='Tabla Impacto'!$C$12,N22='Tabla Impacto'!$D$12),"Menor",IF(OR(N22='Tabla Impacto'!$C$13,N22='Tabla Impacto'!$D$13),"Moderado",IF(OR(N22='Tabla Impacto'!$C$14,N22='Tabla Impacto'!$D$14),"Mayor",IF(OR(N22='Tabla Impacto'!$C$15,N22='Tabla Impacto'!$D$15),"Catastrófico","")))))</f>
        <v>Moderado</v>
      </c>
      <c r="P22" s="385">
        <f>IF(O22="","",IF(O22="Leve",0.2,IF(O22="Menor",0.4,IF(O22="Moderado",0.6,IF(O22="Mayor",0.8,IF(O22="Catastrófico",1,))))))</f>
        <v>0.6</v>
      </c>
      <c r="Q22" s="382" t="str">
        <f>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Moderado</v>
      </c>
      <c r="R22" s="130">
        <v>1</v>
      </c>
      <c r="S22" s="98" t="s">
        <v>216</v>
      </c>
      <c r="T22" s="131" t="str">
        <f t="shared" si="25"/>
        <v>Probabilidad</v>
      </c>
      <c r="U22" s="132" t="s">
        <v>15</v>
      </c>
      <c r="V22" s="132" t="s">
        <v>9</v>
      </c>
      <c r="W22" s="133" t="str">
        <f t="shared" si="26"/>
        <v>30%</v>
      </c>
      <c r="X22" s="132" t="s">
        <v>20</v>
      </c>
      <c r="Y22" s="132" t="s">
        <v>23</v>
      </c>
      <c r="Z22" s="132" t="s">
        <v>111</v>
      </c>
      <c r="AA22" s="134">
        <f t="shared" si="27"/>
        <v>0.14000000000000001</v>
      </c>
      <c r="AB22" s="135" t="str">
        <f t="shared" si="28"/>
        <v>Muy Baja</v>
      </c>
      <c r="AC22" s="136">
        <f t="shared" si="29"/>
        <v>0.14000000000000001</v>
      </c>
      <c r="AD22" s="135" t="str">
        <f t="shared" si="30"/>
        <v>Moderado</v>
      </c>
      <c r="AE22" s="136">
        <f t="shared" si="31"/>
        <v>0.6</v>
      </c>
      <c r="AF22" s="137" t="str">
        <f t="shared" si="32"/>
        <v>Moderado</v>
      </c>
      <c r="AG22" s="138" t="s">
        <v>122</v>
      </c>
      <c r="AH22" s="119" t="s">
        <v>217</v>
      </c>
      <c r="AI22" s="127" t="s">
        <v>203</v>
      </c>
      <c r="AJ22" s="128">
        <v>44562</v>
      </c>
      <c r="AK22" s="128" t="s">
        <v>373</v>
      </c>
      <c r="AL22" s="126" t="s">
        <v>329</v>
      </c>
      <c r="AM22" s="140"/>
    </row>
    <row r="23" spans="1:39" s="164" customFormat="1" ht="151.5" customHeight="1" x14ac:dyDescent="0.35">
      <c r="A23" s="394"/>
      <c r="B23" s="370"/>
      <c r="C23" s="391"/>
      <c r="D23" s="393"/>
      <c r="E23" s="378"/>
      <c r="F23" s="378"/>
      <c r="G23" s="378"/>
      <c r="H23" s="380"/>
      <c r="I23" s="378"/>
      <c r="J23" s="376"/>
      <c r="K23" s="373"/>
      <c r="L23" s="386"/>
      <c r="M23" s="389"/>
      <c r="N23" s="142"/>
      <c r="O23" s="373"/>
      <c r="P23" s="386"/>
      <c r="Q23" s="383"/>
      <c r="R23" s="130">
        <v>2</v>
      </c>
      <c r="S23" s="98"/>
      <c r="T23" s="131" t="str">
        <f t="shared" ref="T23:T45" si="45">IF(OR(U23="Preventivo",U23="Detectivo"),"Probabilidad",IF(U23="Correctivo","Impacto",""))</f>
        <v/>
      </c>
      <c r="U23" s="132"/>
      <c r="V23" s="132"/>
      <c r="W23" s="133" t="str">
        <f t="shared" ref="W23:W44" si="46">IF(AND(U23="Preventivo",V23="Automático"),"50%",IF(AND(U23="Preventivo",V23="Manual"),"40%",IF(AND(U23="Detectivo",V23="Automático"),"40%",IF(AND(U23="Detectivo",V23="Manual"),"30%",IF(AND(U23="Correctivo",V23="Automático"),"35%",IF(AND(U23="Correctivo",V23="Manual"),"25%",""))))))</f>
        <v/>
      </c>
      <c r="X23" s="132"/>
      <c r="Y23" s="132"/>
      <c r="Z23" s="132"/>
      <c r="AA23" s="134" t="str">
        <f>IFERROR(IF(T23="Probabilidad",(AA22-(+AA22*W23)),IF(T23="Impacto",L23,"")),"")</f>
        <v/>
      </c>
      <c r="AB23" s="135" t="str">
        <f t="shared" ref="AB23:AB45" si="47">IFERROR(IF(AA23="","",IF(AA23&lt;=0.2,"Muy Baja",IF(AA23&lt;=0.4,"Baja",IF(AA23&lt;=0.6,"Media",IF(AA23&lt;=0.8,"Alta","Muy Alta"))))),"")</f>
        <v/>
      </c>
      <c r="AC23" s="136" t="str">
        <f t="shared" ref="AC23:AC45" si="48">+AA23</f>
        <v/>
      </c>
      <c r="AD23" s="135" t="str">
        <f t="shared" ref="AD23:AD45" si="49">IFERROR(IF(AE23="","",IF(AE23&lt;=0.2,"Leve",IF(AE23&lt;=0.4,"Menor",IF(AE23&lt;=0.6,"Moderado",IF(AE23&lt;=0.8,"Mayor","Catastrófico"))))),"")</f>
        <v/>
      </c>
      <c r="AE23" s="136" t="str">
        <f t="shared" ref="AE23:AE45" si="50">IFERROR(IF(T23="Impacto",(P23-(+P23*W23)),IF(T23="Probabilidad",P23,"")),"")</f>
        <v/>
      </c>
      <c r="AF23" s="137" t="str">
        <f t="shared" ref="AF23:AF45" si="51">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
      </c>
      <c r="AG23" s="138"/>
      <c r="AH23" s="119"/>
      <c r="AI23" s="127"/>
      <c r="AJ23" s="143"/>
      <c r="AK23" s="143"/>
      <c r="AL23" s="119"/>
      <c r="AM23" s="140"/>
    </row>
    <row r="24" spans="1:39" s="164" customFormat="1" ht="151.5" customHeight="1" x14ac:dyDescent="0.35">
      <c r="A24" s="394"/>
      <c r="B24" s="371"/>
      <c r="C24" s="391"/>
      <c r="D24" s="393"/>
      <c r="E24" s="378"/>
      <c r="F24" s="378"/>
      <c r="G24" s="378"/>
      <c r="H24" s="380"/>
      <c r="I24" s="378"/>
      <c r="J24" s="376"/>
      <c r="K24" s="374"/>
      <c r="L24" s="387"/>
      <c r="M24" s="389"/>
      <c r="N24" s="142"/>
      <c r="O24" s="374"/>
      <c r="P24" s="387"/>
      <c r="Q24" s="384"/>
      <c r="R24" s="130">
        <v>3</v>
      </c>
      <c r="S24" s="98"/>
      <c r="T24" s="131" t="str">
        <f t="shared" si="45"/>
        <v/>
      </c>
      <c r="U24" s="132"/>
      <c r="V24" s="132"/>
      <c r="W24" s="133" t="str">
        <f t="shared" si="46"/>
        <v/>
      </c>
      <c r="X24" s="132"/>
      <c r="Y24" s="132"/>
      <c r="Z24" s="132"/>
      <c r="AA24" s="134" t="str">
        <f>IFERROR(IF(T24="Probabilidad",(AA23-(+AA23*W24)),IF(T24="Impacto",L24,"")),"")</f>
        <v/>
      </c>
      <c r="AB24" s="135" t="str">
        <f t="shared" si="47"/>
        <v/>
      </c>
      <c r="AC24" s="136" t="str">
        <f t="shared" si="48"/>
        <v/>
      </c>
      <c r="AD24" s="135" t="str">
        <f t="shared" si="49"/>
        <v/>
      </c>
      <c r="AE24" s="136" t="str">
        <f t="shared" si="50"/>
        <v/>
      </c>
      <c r="AF24" s="137" t="str">
        <f t="shared" si="51"/>
        <v/>
      </c>
      <c r="AG24" s="138"/>
      <c r="AH24" s="119"/>
      <c r="AI24" s="127"/>
      <c r="AJ24" s="143"/>
      <c r="AK24" s="143"/>
      <c r="AL24" s="119"/>
      <c r="AM24" s="140"/>
    </row>
    <row r="25" spans="1:39" s="164" customFormat="1" ht="226.5" customHeight="1" x14ac:dyDescent="0.35">
      <c r="A25" s="394">
        <v>7</v>
      </c>
      <c r="B25" s="369" t="s">
        <v>218</v>
      </c>
      <c r="C25" s="390" t="s">
        <v>219</v>
      </c>
      <c r="D25" s="390" t="s">
        <v>220</v>
      </c>
      <c r="E25" s="377" t="s">
        <v>120</v>
      </c>
      <c r="F25" s="381" t="s">
        <v>221</v>
      </c>
      <c r="G25" s="377" t="s">
        <v>222</v>
      </c>
      <c r="H25" s="379" t="s">
        <v>585</v>
      </c>
      <c r="I25" s="377" t="s">
        <v>115</v>
      </c>
      <c r="J25" s="375">
        <v>1460</v>
      </c>
      <c r="K25" s="372" t="str">
        <f>IF(J25&lt;=0,"",IF(J25&lt;=2,"Muy Baja",IF(J25&lt;=24,"Baja",IF(J25&lt;=500,"Media",IF(J25&lt;=5000,"Alta","Muy Alta")))))</f>
        <v>Alta</v>
      </c>
      <c r="L25" s="385">
        <f>IF(K25="","",IF(K25="Muy Baja",0.2,IF(K25="Baja",0.4,IF(K25="Media",0.6,IF(K25="Alta",0.8,IF(K25="Muy Alta",1,))))))</f>
        <v>0.8</v>
      </c>
      <c r="M25" s="388" t="s">
        <v>486</v>
      </c>
      <c r="N25" s="129" t="str">
        <f>IF(NOT(ISERROR(MATCH(M25,'Tabla Impacto'!$B$221:$B$223,0))),'Tabla Impacto'!$F$223&amp;"Por favor no seleccionar los criterios de impacto(Afectación Económica o presupuestal y Pérdida Reputacional)",M25)</f>
        <v xml:space="preserve"> El riesgo afecta la imagen de la entidad con algunos usuarios de relevancia frente al logro de los objetivos</v>
      </c>
      <c r="O25" s="372" t="str">
        <f>IF(OR(N25='Tabla Impacto'!$C$11,N25='Tabla Impacto'!$D$11),"Leve",IF(OR(N25='Tabla Impacto'!$C$12,N25='Tabla Impacto'!$D$12),"Menor",IF(OR(N25='Tabla Impacto'!$C$13,N25='Tabla Impacto'!$D$13),"Moderado",IF(OR(N25='Tabla Impacto'!$C$14,N25='Tabla Impacto'!$D$14),"Mayor",IF(OR(N25='Tabla Impacto'!$C$15,N25='Tabla Impacto'!$D$15),"Catastrófico","")))))</f>
        <v>Moderado</v>
      </c>
      <c r="P25" s="385">
        <f>IF(O25="","",IF(O25="Leve",0.2,IF(O25="Menor",0.4,IF(O25="Moderado",0.6,IF(O25="Mayor",0.8,IF(O25="Catastrófico",1,))))))</f>
        <v>0.6</v>
      </c>
      <c r="Q25" s="382" t="str">
        <f>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Alto</v>
      </c>
      <c r="R25" s="130">
        <v>1</v>
      </c>
      <c r="S25" s="119" t="s">
        <v>586</v>
      </c>
      <c r="T25" s="159" t="str">
        <f t="shared" si="45"/>
        <v>Probabilidad</v>
      </c>
      <c r="U25" s="147" t="s">
        <v>14</v>
      </c>
      <c r="V25" s="132" t="s">
        <v>9</v>
      </c>
      <c r="W25" s="133" t="str">
        <f t="shared" si="46"/>
        <v>40%</v>
      </c>
      <c r="X25" s="132" t="s">
        <v>19</v>
      </c>
      <c r="Y25" s="132" t="s">
        <v>22</v>
      </c>
      <c r="Z25" s="132" t="s">
        <v>110</v>
      </c>
      <c r="AA25" s="134">
        <f t="shared" ref="AA25:AA43" si="52">IFERROR(IF(T25="Probabilidad",(L25-(+L25*W25)),IF(T25="Impacto",L25,"")),"")</f>
        <v>0.48</v>
      </c>
      <c r="AB25" s="135" t="str">
        <f t="shared" si="47"/>
        <v>Media</v>
      </c>
      <c r="AC25" s="136">
        <f t="shared" si="48"/>
        <v>0.48</v>
      </c>
      <c r="AD25" s="135" t="str">
        <f t="shared" si="49"/>
        <v>Moderado</v>
      </c>
      <c r="AE25" s="136">
        <f t="shared" si="50"/>
        <v>0.6</v>
      </c>
      <c r="AF25" s="137" t="str">
        <f t="shared" si="51"/>
        <v>Moderado</v>
      </c>
      <c r="AG25" s="138" t="s">
        <v>122</v>
      </c>
      <c r="AH25" s="153" t="s">
        <v>223</v>
      </c>
      <c r="AI25" s="154" t="s">
        <v>212</v>
      </c>
      <c r="AJ25" s="128">
        <v>44562</v>
      </c>
      <c r="AK25" s="128" t="s">
        <v>373</v>
      </c>
      <c r="AL25" s="153" t="s">
        <v>587</v>
      </c>
      <c r="AM25" s="140"/>
    </row>
    <row r="26" spans="1:39" s="164" customFormat="1" ht="151.5" customHeight="1" x14ac:dyDescent="0.35">
      <c r="A26" s="394"/>
      <c r="B26" s="370"/>
      <c r="C26" s="391"/>
      <c r="D26" s="393"/>
      <c r="E26" s="378"/>
      <c r="F26" s="378"/>
      <c r="G26" s="378"/>
      <c r="H26" s="380"/>
      <c r="I26" s="378"/>
      <c r="J26" s="376"/>
      <c r="K26" s="373"/>
      <c r="L26" s="386"/>
      <c r="M26" s="389"/>
      <c r="N26" s="142"/>
      <c r="O26" s="373"/>
      <c r="P26" s="386"/>
      <c r="Q26" s="383"/>
      <c r="R26" s="130">
        <v>2</v>
      </c>
      <c r="S26" s="98"/>
      <c r="T26" s="131" t="str">
        <f t="shared" si="45"/>
        <v/>
      </c>
      <c r="U26" s="132"/>
      <c r="V26" s="132"/>
      <c r="W26" s="133"/>
      <c r="X26" s="132"/>
      <c r="Y26" s="132"/>
      <c r="Z26" s="132"/>
      <c r="AA26" s="134" t="str">
        <f>IFERROR(IF(T26="Probabilidad",(AA25-(+AA25*W26)),IF(T26="Impacto",L26,"")),"")</f>
        <v/>
      </c>
      <c r="AB26" s="135" t="str">
        <f t="shared" si="47"/>
        <v/>
      </c>
      <c r="AC26" s="136" t="str">
        <f t="shared" si="48"/>
        <v/>
      </c>
      <c r="AD26" s="135" t="str">
        <f t="shared" si="49"/>
        <v/>
      </c>
      <c r="AE26" s="136" t="str">
        <f t="shared" si="50"/>
        <v/>
      </c>
      <c r="AF26" s="137" t="str">
        <f t="shared" si="51"/>
        <v/>
      </c>
      <c r="AG26" s="138"/>
      <c r="AH26" s="119"/>
      <c r="AI26" s="127"/>
      <c r="AJ26" s="143"/>
      <c r="AK26" s="143"/>
      <c r="AL26" s="119"/>
      <c r="AM26" s="140"/>
    </row>
    <row r="27" spans="1:39" s="164" customFormat="1" ht="151.5" customHeight="1" x14ac:dyDescent="0.35">
      <c r="A27" s="394"/>
      <c r="B27" s="371"/>
      <c r="C27" s="391"/>
      <c r="D27" s="393"/>
      <c r="E27" s="378"/>
      <c r="F27" s="378"/>
      <c r="G27" s="378"/>
      <c r="H27" s="380"/>
      <c r="I27" s="378"/>
      <c r="J27" s="376"/>
      <c r="K27" s="374"/>
      <c r="L27" s="387"/>
      <c r="M27" s="389"/>
      <c r="N27" s="142"/>
      <c r="O27" s="374"/>
      <c r="P27" s="387"/>
      <c r="Q27" s="384"/>
      <c r="R27" s="130">
        <v>3</v>
      </c>
      <c r="S27" s="98"/>
      <c r="T27" s="131" t="str">
        <f t="shared" si="45"/>
        <v/>
      </c>
      <c r="U27" s="132"/>
      <c r="V27" s="132"/>
      <c r="W27" s="133"/>
      <c r="X27" s="132"/>
      <c r="Y27" s="132"/>
      <c r="Z27" s="132"/>
      <c r="AA27" s="134" t="str">
        <f>IFERROR(IF(T27="Probabilidad",(AA26-(+AA26*W27)),IF(T27="Impacto",L27,"")),"")</f>
        <v/>
      </c>
      <c r="AB27" s="135" t="str">
        <f t="shared" si="47"/>
        <v/>
      </c>
      <c r="AC27" s="136" t="str">
        <f t="shared" si="48"/>
        <v/>
      </c>
      <c r="AD27" s="135" t="str">
        <f t="shared" si="49"/>
        <v/>
      </c>
      <c r="AE27" s="136" t="str">
        <f t="shared" si="50"/>
        <v/>
      </c>
      <c r="AF27" s="137" t="str">
        <f t="shared" si="51"/>
        <v/>
      </c>
      <c r="AG27" s="138"/>
      <c r="AH27" s="119"/>
      <c r="AI27" s="127"/>
      <c r="AJ27" s="143"/>
      <c r="AK27" s="143"/>
      <c r="AL27" s="119"/>
      <c r="AM27" s="140"/>
    </row>
    <row r="28" spans="1:39" s="164" customFormat="1" ht="151.5" customHeight="1" x14ac:dyDescent="0.35">
      <c r="A28" s="394">
        <v>8</v>
      </c>
      <c r="B28" s="369" t="s">
        <v>224</v>
      </c>
      <c r="C28" s="390" t="s">
        <v>219</v>
      </c>
      <c r="D28" s="390" t="s">
        <v>220</v>
      </c>
      <c r="E28" s="377" t="s">
        <v>118</v>
      </c>
      <c r="F28" s="377" t="s">
        <v>225</v>
      </c>
      <c r="G28" s="377" t="s">
        <v>439</v>
      </c>
      <c r="H28" s="379" t="s">
        <v>226</v>
      </c>
      <c r="I28" s="377" t="s">
        <v>328</v>
      </c>
      <c r="J28" s="375">
        <v>1460</v>
      </c>
      <c r="K28" s="372" t="str">
        <f>IF(J28&lt;=0,"",IF(J28&lt;=2,"Muy Baja",IF(J28&lt;=24,"Baja",IF(J28&lt;=500,"Media",IF(J28&lt;=5000,"Alta","Muy Alta")))))</f>
        <v>Alta</v>
      </c>
      <c r="L28" s="385">
        <f>IF(K28="","",IF(K28="Muy Baja",0.2,IF(K28="Baja",0.4,IF(K28="Media",0.6,IF(K28="Alta",0.8,IF(K28="Muy Alta",1,))))))</f>
        <v>0.8</v>
      </c>
      <c r="M28" s="388" t="s">
        <v>493</v>
      </c>
      <c r="N28" s="129" t="str">
        <f>IF(NOT(ISERROR(MATCH(M28,'Tabla Impacto'!$B$221:$B$223,0))),'Tabla Impacto'!$F$223&amp;"Por favor no seleccionar los criterios de impacto(Afectación Económica o presupuestal y Pérdida Reputacional)",M28)</f>
        <v xml:space="preserve"> El riesgo afecta la imagen de la entidad con efecto publicitario sostenido a nivel de sector administrativo, nivel departamental o municipal</v>
      </c>
      <c r="O28" s="372" t="str">
        <f>IF(OR(N28='Tabla Impacto'!$C$11,N28='Tabla Impacto'!$D$11),"Leve",IF(OR(N28='Tabla Impacto'!$C$12,N28='Tabla Impacto'!$D$12),"Menor",IF(OR(N28='Tabla Impacto'!$C$13,N28='Tabla Impacto'!$D$13),"Moderado",IF(OR(N28='Tabla Impacto'!$C$14,N28='Tabla Impacto'!$D$14),"Mayor",IF(OR(N28='Tabla Impacto'!$C$15,N28='Tabla Impacto'!$D$15),"Catastrófico","")))))</f>
        <v>Mayor</v>
      </c>
      <c r="P28" s="385">
        <f>IF(O28="","",IF(O28="Leve",0.2,IF(O28="Menor",0.4,IF(O28="Moderado",0.6,IF(O28="Mayor",0.8,IF(O28="Catastrófico",1,))))))</f>
        <v>0.8</v>
      </c>
      <c r="Q28" s="382"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30">
        <v>1</v>
      </c>
      <c r="S28" s="120" t="s">
        <v>227</v>
      </c>
      <c r="T28" s="131" t="str">
        <f t="shared" si="45"/>
        <v>Probabilidad</v>
      </c>
      <c r="U28" s="132" t="s">
        <v>14</v>
      </c>
      <c r="V28" s="132" t="s">
        <v>9</v>
      </c>
      <c r="W28" s="133" t="str">
        <f t="shared" si="46"/>
        <v>40%</v>
      </c>
      <c r="X28" s="132" t="s">
        <v>19</v>
      </c>
      <c r="Y28" s="132" t="s">
        <v>22</v>
      </c>
      <c r="Z28" s="132" t="s">
        <v>110</v>
      </c>
      <c r="AA28" s="134">
        <f t="shared" si="52"/>
        <v>0.48</v>
      </c>
      <c r="AB28" s="135" t="str">
        <f t="shared" si="47"/>
        <v>Media</v>
      </c>
      <c r="AC28" s="136">
        <f t="shared" si="48"/>
        <v>0.48</v>
      </c>
      <c r="AD28" s="135" t="str">
        <f t="shared" si="49"/>
        <v>Mayor</v>
      </c>
      <c r="AE28" s="136">
        <f t="shared" si="50"/>
        <v>0.8</v>
      </c>
      <c r="AF28" s="137" t="str">
        <f t="shared" si="51"/>
        <v>Alto</v>
      </c>
      <c r="AG28" s="138" t="s">
        <v>122</v>
      </c>
      <c r="AH28" s="153" t="s">
        <v>229</v>
      </c>
      <c r="AI28" s="154" t="s">
        <v>212</v>
      </c>
      <c r="AJ28" s="128">
        <v>44562</v>
      </c>
      <c r="AK28" s="128" t="s">
        <v>373</v>
      </c>
      <c r="AL28" s="153" t="s">
        <v>230</v>
      </c>
      <c r="AM28" s="140"/>
    </row>
    <row r="29" spans="1:39" s="164" customFormat="1" ht="151.5" customHeight="1" x14ac:dyDescent="0.35">
      <c r="A29" s="394"/>
      <c r="B29" s="370"/>
      <c r="C29" s="391"/>
      <c r="D29" s="393"/>
      <c r="E29" s="378"/>
      <c r="F29" s="378"/>
      <c r="G29" s="378"/>
      <c r="H29" s="380"/>
      <c r="I29" s="378"/>
      <c r="J29" s="376"/>
      <c r="K29" s="373"/>
      <c r="L29" s="386"/>
      <c r="M29" s="389"/>
      <c r="N29" s="142"/>
      <c r="O29" s="373"/>
      <c r="P29" s="386"/>
      <c r="Q29" s="383"/>
      <c r="R29" s="130">
        <v>2</v>
      </c>
      <c r="S29" s="120" t="s">
        <v>228</v>
      </c>
      <c r="T29" s="131" t="str">
        <f t="shared" si="45"/>
        <v>Probabilidad</v>
      </c>
      <c r="U29" s="132" t="s">
        <v>14</v>
      </c>
      <c r="V29" s="132" t="s">
        <v>9</v>
      </c>
      <c r="W29" s="133" t="str">
        <f t="shared" si="46"/>
        <v>40%</v>
      </c>
      <c r="X29" s="132" t="s">
        <v>19</v>
      </c>
      <c r="Y29" s="132" t="s">
        <v>22</v>
      </c>
      <c r="Z29" s="132" t="s">
        <v>110</v>
      </c>
      <c r="AA29" s="134">
        <f>IFERROR(IF(T29="Probabilidad",(AA28-(+AA28*W29)),IF(T29="Impacto",L29,"")),"")</f>
        <v>0.28799999999999998</v>
      </c>
      <c r="AB29" s="135" t="str">
        <f t="shared" si="47"/>
        <v>Baja</v>
      </c>
      <c r="AC29" s="136">
        <f t="shared" si="48"/>
        <v>0.28799999999999998</v>
      </c>
      <c r="AD29" s="135" t="str">
        <f t="shared" si="49"/>
        <v>Mayor</v>
      </c>
      <c r="AE29" s="136">
        <v>0.8</v>
      </c>
      <c r="AF29" s="137" t="str">
        <f t="shared" si="51"/>
        <v>Alto</v>
      </c>
      <c r="AG29" s="138" t="s">
        <v>122</v>
      </c>
      <c r="AH29" s="153" t="s">
        <v>231</v>
      </c>
      <c r="AI29" s="154" t="s">
        <v>212</v>
      </c>
      <c r="AJ29" s="128">
        <v>44562</v>
      </c>
      <c r="AK29" s="128" t="s">
        <v>373</v>
      </c>
      <c r="AL29" s="153" t="s">
        <v>230</v>
      </c>
      <c r="AM29" s="140"/>
    </row>
    <row r="30" spans="1:39" s="164" customFormat="1" ht="151.5" customHeight="1" x14ac:dyDescent="0.35">
      <c r="A30" s="394"/>
      <c r="B30" s="371"/>
      <c r="C30" s="391"/>
      <c r="D30" s="393"/>
      <c r="E30" s="378"/>
      <c r="F30" s="378"/>
      <c r="G30" s="378"/>
      <c r="H30" s="380"/>
      <c r="I30" s="378"/>
      <c r="J30" s="376"/>
      <c r="K30" s="374"/>
      <c r="L30" s="387"/>
      <c r="M30" s="389"/>
      <c r="N30" s="142"/>
      <c r="O30" s="374"/>
      <c r="P30" s="387"/>
      <c r="Q30" s="384"/>
      <c r="R30" s="130">
        <v>3</v>
      </c>
      <c r="S30" s="98"/>
      <c r="T30" s="131" t="str">
        <f t="shared" si="45"/>
        <v/>
      </c>
      <c r="U30" s="132"/>
      <c r="V30" s="132"/>
      <c r="W30" s="133"/>
      <c r="X30" s="132"/>
      <c r="Y30" s="132"/>
      <c r="Z30" s="132"/>
      <c r="AA30" s="134" t="str">
        <f>IFERROR(IF(T30="Probabilidad",(AA29-(+AA29*W30)),IF(T30="Impacto",L30,"")),"")</f>
        <v/>
      </c>
      <c r="AB30" s="135" t="str">
        <f t="shared" si="47"/>
        <v/>
      </c>
      <c r="AC30" s="136" t="str">
        <f t="shared" si="48"/>
        <v/>
      </c>
      <c r="AD30" s="135" t="str">
        <f t="shared" si="49"/>
        <v/>
      </c>
      <c r="AE30" s="136" t="str">
        <f t="shared" si="50"/>
        <v/>
      </c>
      <c r="AF30" s="137" t="str">
        <f t="shared" si="51"/>
        <v/>
      </c>
      <c r="AG30" s="138"/>
      <c r="AH30" s="119"/>
      <c r="AI30" s="127"/>
      <c r="AJ30" s="143"/>
      <c r="AK30" s="143"/>
      <c r="AL30" s="119"/>
      <c r="AM30" s="140"/>
    </row>
    <row r="31" spans="1:39" s="164" customFormat="1" ht="151.5" customHeight="1" x14ac:dyDescent="0.35">
      <c r="A31" s="394">
        <v>9</v>
      </c>
      <c r="B31" s="369" t="s">
        <v>224</v>
      </c>
      <c r="C31" s="390" t="s">
        <v>219</v>
      </c>
      <c r="D31" s="390" t="s">
        <v>220</v>
      </c>
      <c r="E31" s="377" t="s">
        <v>120</v>
      </c>
      <c r="F31" s="377" t="s">
        <v>511</v>
      </c>
      <c r="G31" s="377" t="s">
        <v>232</v>
      </c>
      <c r="H31" s="379" t="s">
        <v>233</v>
      </c>
      <c r="I31" s="377" t="s">
        <v>328</v>
      </c>
      <c r="J31" s="375">
        <v>1460</v>
      </c>
      <c r="K31" s="372" t="str">
        <f>IF(J31&lt;=0,"",IF(J31&lt;=2,"Muy Baja",IF(J31&lt;=24,"Baja",IF(J31&lt;=500,"Media",IF(J31&lt;=5000,"Alta","Muy Alta")))))</f>
        <v>Alta</v>
      </c>
      <c r="L31" s="385">
        <f>IF(K31="","",IF(K31="Muy Baja",0.2,IF(K31="Baja",0.4,IF(K31="Media",0.6,IF(K31="Alta",0.8,IF(K31="Muy Alta",1,))))))</f>
        <v>0.8</v>
      </c>
      <c r="M31" s="388" t="s">
        <v>486</v>
      </c>
      <c r="N31" s="129" t="str">
        <f>IF(NOT(ISERROR(MATCH(M31,'Tabla Impacto'!$B$221:$B$223,0))),'Tabla Impacto'!$F$223&amp;"Por favor no seleccionar los criterios de impacto(Afectación Económica o presupuestal y Pérdida Reputacional)",M31)</f>
        <v xml:space="preserve"> El riesgo afecta la imagen de la entidad con algunos usuarios de relevancia frente al logro de los objetivos</v>
      </c>
      <c r="O31" s="372" t="str">
        <f>IF(OR(N31='Tabla Impacto'!$C$11,N31='Tabla Impacto'!$D$11),"Leve",IF(OR(N31='Tabla Impacto'!$C$12,N31='Tabla Impacto'!$D$12),"Menor",IF(OR(N31='Tabla Impacto'!$C$13,N31='Tabla Impacto'!$D$13),"Moderado",IF(OR(N31='Tabla Impacto'!$C$14,N31='Tabla Impacto'!$D$14),"Mayor",IF(OR(N31='Tabla Impacto'!$C$15,N31='Tabla Impacto'!$D$15),"Catastrófico","")))))</f>
        <v>Moderado</v>
      </c>
      <c r="P31" s="385">
        <f>IF(O31="","",IF(O31="Leve",0.2,IF(O31="Menor",0.4,IF(O31="Moderado",0.6,IF(O31="Mayor",0.8,IF(O31="Catastrófico",1,))))))</f>
        <v>0.6</v>
      </c>
      <c r="Q31" s="382" t="str">
        <f>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30">
        <v>1</v>
      </c>
      <c r="S31" s="98" t="s">
        <v>227</v>
      </c>
      <c r="T31" s="131" t="str">
        <f t="shared" si="45"/>
        <v>Probabilidad</v>
      </c>
      <c r="U31" s="132" t="s">
        <v>14</v>
      </c>
      <c r="V31" s="132" t="s">
        <v>9</v>
      </c>
      <c r="W31" s="133" t="str">
        <f t="shared" si="46"/>
        <v>40%</v>
      </c>
      <c r="X31" s="132" t="s">
        <v>19</v>
      </c>
      <c r="Y31" s="132" t="s">
        <v>23</v>
      </c>
      <c r="Z31" s="132" t="s">
        <v>110</v>
      </c>
      <c r="AA31" s="134">
        <f t="shared" si="52"/>
        <v>0.48</v>
      </c>
      <c r="AB31" s="135" t="str">
        <f t="shared" si="47"/>
        <v>Media</v>
      </c>
      <c r="AC31" s="136">
        <f t="shared" si="48"/>
        <v>0.48</v>
      </c>
      <c r="AD31" s="135" t="str">
        <f t="shared" si="49"/>
        <v>Moderado</v>
      </c>
      <c r="AE31" s="136">
        <f t="shared" si="50"/>
        <v>0.6</v>
      </c>
      <c r="AF31" s="137" t="str">
        <f t="shared" si="51"/>
        <v>Moderado</v>
      </c>
      <c r="AG31" s="138" t="s">
        <v>122</v>
      </c>
      <c r="AH31" s="153" t="s">
        <v>236</v>
      </c>
      <c r="AI31" s="154" t="s">
        <v>212</v>
      </c>
      <c r="AJ31" s="128">
        <v>44562</v>
      </c>
      <c r="AK31" s="128" t="s">
        <v>373</v>
      </c>
      <c r="AL31" s="153" t="s">
        <v>235</v>
      </c>
      <c r="AM31" s="127"/>
    </row>
    <row r="32" spans="1:39" s="164" customFormat="1" ht="151.5" customHeight="1" x14ac:dyDescent="0.35">
      <c r="A32" s="394"/>
      <c r="B32" s="370"/>
      <c r="C32" s="391"/>
      <c r="D32" s="393"/>
      <c r="E32" s="378"/>
      <c r="F32" s="378"/>
      <c r="G32" s="378"/>
      <c r="H32" s="380"/>
      <c r="I32" s="378"/>
      <c r="J32" s="376"/>
      <c r="K32" s="373"/>
      <c r="L32" s="386"/>
      <c r="M32" s="389"/>
      <c r="N32" s="142"/>
      <c r="O32" s="373"/>
      <c r="P32" s="386"/>
      <c r="Q32" s="383"/>
      <c r="R32" s="130">
        <v>2</v>
      </c>
      <c r="S32" s="98" t="s">
        <v>228</v>
      </c>
      <c r="T32" s="131" t="str">
        <f t="shared" si="45"/>
        <v>Probabilidad</v>
      </c>
      <c r="U32" s="132" t="s">
        <v>14</v>
      </c>
      <c r="V32" s="132" t="s">
        <v>9</v>
      </c>
      <c r="W32" s="133" t="str">
        <f t="shared" si="46"/>
        <v>40%</v>
      </c>
      <c r="X32" s="132" t="s">
        <v>19</v>
      </c>
      <c r="Y32" s="132" t="s">
        <v>23</v>
      </c>
      <c r="Z32" s="132" t="s">
        <v>111</v>
      </c>
      <c r="AA32" s="134">
        <f>IFERROR(IF(T32="Probabilidad",(AA31-(+AA31*W32)),IF(T32="Impacto",L32,"")),"")</f>
        <v>0.28799999999999998</v>
      </c>
      <c r="AB32" s="135" t="str">
        <f t="shared" si="47"/>
        <v>Baja</v>
      </c>
      <c r="AC32" s="136">
        <f t="shared" si="48"/>
        <v>0.28799999999999998</v>
      </c>
      <c r="AD32" s="135" t="str">
        <f t="shared" si="49"/>
        <v>Moderado</v>
      </c>
      <c r="AE32" s="136">
        <v>0.6</v>
      </c>
      <c r="AF32" s="137" t="str">
        <f t="shared" si="51"/>
        <v>Moderado</v>
      </c>
      <c r="AG32" s="138" t="s">
        <v>122</v>
      </c>
      <c r="AH32" s="153" t="s">
        <v>236</v>
      </c>
      <c r="AI32" s="154" t="s">
        <v>212</v>
      </c>
      <c r="AJ32" s="128">
        <v>44562</v>
      </c>
      <c r="AK32" s="128" t="s">
        <v>373</v>
      </c>
      <c r="AL32" s="153" t="s">
        <v>235</v>
      </c>
      <c r="AM32" s="127"/>
    </row>
    <row r="33" spans="1:39" s="164" customFormat="1" ht="151.5" customHeight="1" x14ac:dyDescent="0.35">
      <c r="A33" s="394"/>
      <c r="B33" s="371"/>
      <c r="C33" s="391"/>
      <c r="D33" s="393"/>
      <c r="E33" s="378"/>
      <c r="F33" s="378"/>
      <c r="G33" s="378"/>
      <c r="H33" s="380"/>
      <c r="I33" s="378"/>
      <c r="J33" s="376"/>
      <c r="K33" s="374"/>
      <c r="L33" s="387"/>
      <c r="M33" s="389"/>
      <c r="N33" s="142"/>
      <c r="O33" s="374"/>
      <c r="P33" s="387"/>
      <c r="Q33" s="384"/>
      <c r="R33" s="130">
        <v>3</v>
      </c>
      <c r="S33" s="98" t="s">
        <v>234</v>
      </c>
      <c r="T33" s="131" t="str">
        <f t="shared" si="45"/>
        <v>Probabilidad</v>
      </c>
      <c r="U33" s="132" t="s">
        <v>15</v>
      </c>
      <c r="V33" s="132" t="s">
        <v>9</v>
      </c>
      <c r="W33" s="133" t="str">
        <f t="shared" si="46"/>
        <v>30%</v>
      </c>
      <c r="X33" s="132" t="s">
        <v>19</v>
      </c>
      <c r="Y33" s="132" t="s">
        <v>22</v>
      </c>
      <c r="Z33" s="132" t="s">
        <v>110</v>
      </c>
      <c r="AA33" s="134">
        <f>IFERROR(IF(T33="Probabilidad",(AA32-(+AA32*W33)),IF(T33="Impacto",L33,"")),"")</f>
        <v>0.2016</v>
      </c>
      <c r="AB33" s="135" t="str">
        <f t="shared" si="47"/>
        <v>Baja</v>
      </c>
      <c r="AC33" s="136">
        <f t="shared" si="48"/>
        <v>0.2016</v>
      </c>
      <c r="AD33" s="135" t="str">
        <f t="shared" si="49"/>
        <v>Moderado</v>
      </c>
      <c r="AE33" s="136">
        <v>0.6</v>
      </c>
      <c r="AF33" s="137" t="str">
        <f t="shared" si="51"/>
        <v>Moderado</v>
      </c>
      <c r="AG33" s="138" t="s">
        <v>122</v>
      </c>
      <c r="AH33" s="153" t="s">
        <v>236</v>
      </c>
      <c r="AI33" s="154" t="s">
        <v>212</v>
      </c>
      <c r="AJ33" s="128">
        <v>44562</v>
      </c>
      <c r="AK33" s="128" t="s">
        <v>373</v>
      </c>
      <c r="AL33" s="153" t="s">
        <v>235</v>
      </c>
      <c r="AM33" s="127"/>
    </row>
    <row r="34" spans="1:39" s="164" customFormat="1" ht="285" customHeight="1" x14ac:dyDescent="0.35">
      <c r="A34" s="394">
        <v>10</v>
      </c>
      <c r="B34" s="369" t="s">
        <v>237</v>
      </c>
      <c r="C34" s="390" t="s">
        <v>355</v>
      </c>
      <c r="D34" s="390" t="s">
        <v>383</v>
      </c>
      <c r="E34" s="377" t="s">
        <v>118</v>
      </c>
      <c r="F34" s="381" t="s">
        <v>364</v>
      </c>
      <c r="G34" s="381" t="s">
        <v>365</v>
      </c>
      <c r="H34" s="379" t="s">
        <v>545</v>
      </c>
      <c r="I34" s="377" t="s">
        <v>115</v>
      </c>
      <c r="J34" s="375">
        <v>20</v>
      </c>
      <c r="K34" s="372" t="str">
        <f>IF(J34&lt;=0,"",IF(J34&lt;=2,"Muy Baja",IF(J34&lt;=24,"Baja",IF(J34&lt;=500,"Media",IF(J34&lt;=5000,"Alta","Muy Alta")))))</f>
        <v>Baja</v>
      </c>
      <c r="L34" s="385">
        <f>IF(K34="","",IF(K34="Muy Baja",0.2,IF(K34="Baja",0.4,IF(K34="Media",0.6,IF(K34="Alta",0.8,IF(K34="Muy Alta",1,))))))</f>
        <v>0.4</v>
      </c>
      <c r="M34" s="388" t="s">
        <v>493</v>
      </c>
      <c r="N34" s="129" t="str">
        <f>IF(NOT(ISERROR(MATCH(M34,'Tabla Impacto'!$B$221:$B$223,0))),'Tabla Impacto'!$F$223&amp;"Por favor no seleccionar los criterios de impacto(Afectación Económica o presupuestal y Pérdida Reputacional)",M34)</f>
        <v xml:space="preserve"> El riesgo afecta la imagen de la entidad con efecto publicitario sostenido a nivel de sector administrativo, nivel departamental o municipal</v>
      </c>
      <c r="O34" s="372" t="str">
        <f>IF(OR(N34='Tabla Impacto'!$C$11,N34='Tabla Impacto'!$D$11),"Leve",IF(OR(N34='Tabla Impacto'!$C$12,N34='Tabla Impacto'!$D$12),"Menor",IF(OR(N34='Tabla Impacto'!$C$13,N34='Tabla Impacto'!$D$13),"Moderado",IF(OR(N34='Tabla Impacto'!$C$14,N34='Tabla Impacto'!$D$14),"Mayor",IF(OR(N34='Tabla Impacto'!$C$15,N34='Tabla Impacto'!$D$15),"Catastrófico","")))))</f>
        <v>Mayor</v>
      </c>
      <c r="P34" s="385">
        <f>IF(O34="","",IF(O34="Leve",0.2,IF(O34="Menor",0.4,IF(O34="Moderado",0.6,IF(O34="Mayor",0.8,IF(O34="Catastrófico",1,))))))</f>
        <v>0.8</v>
      </c>
      <c r="Q34" s="382" t="str">
        <f>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Alto</v>
      </c>
      <c r="R34" s="130">
        <v>1</v>
      </c>
      <c r="S34" s="98" t="s">
        <v>583</v>
      </c>
      <c r="T34" s="131" t="str">
        <f t="shared" si="45"/>
        <v>Probabilidad</v>
      </c>
      <c r="U34" s="132" t="s">
        <v>14</v>
      </c>
      <c r="V34" s="132" t="s">
        <v>9</v>
      </c>
      <c r="W34" s="133" t="str">
        <f t="shared" si="46"/>
        <v>40%</v>
      </c>
      <c r="X34" s="132" t="s">
        <v>19</v>
      </c>
      <c r="Y34" s="132" t="s">
        <v>22</v>
      </c>
      <c r="Z34" s="132" t="s">
        <v>110</v>
      </c>
      <c r="AA34" s="134">
        <f t="shared" si="52"/>
        <v>0.24</v>
      </c>
      <c r="AB34" s="135" t="str">
        <f t="shared" si="47"/>
        <v>Baja</v>
      </c>
      <c r="AC34" s="136">
        <f t="shared" si="48"/>
        <v>0.24</v>
      </c>
      <c r="AD34" s="135" t="str">
        <f t="shared" si="49"/>
        <v>Mayor</v>
      </c>
      <c r="AE34" s="136">
        <f t="shared" si="50"/>
        <v>0.8</v>
      </c>
      <c r="AF34" s="137" t="str">
        <f t="shared" si="51"/>
        <v>Alto</v>
      </c>
      <c r="AG34" s="138" t="s">
        <v>122</v>
      </c>
      <c r="AH34" s="153" t="s">
        <v>584</v>
      </c>
      <c r="AI34" s="121" t="s">
        <v>198</v>
      </c>
      <c r="AJ34" s="128" t="s">
        <v>286</v>
      </c>
      <c r="AK34" s="128" t="s">
        <v>287</v>
      </c>
      <c r="AL34" s="119" t="s">
        <v>366</v>
      </c>
      <c r="AM34" s="127"/>
    </row>
    <row r="35" spans="1:39" s="164" customFormat="1" ht="151.5" customHeight="1" x14ac:dyDescent="0.35">
      <c r="A35" s="394"/>
      <c r="B35" s="370"/>
      <c r="C35" s="393"/>
      <c r="D35" s="393"/>
      <c r="E35" s="378"/>
      <c r="F35" s="378"/>
      <c r="G35" s="378"/>
      <c r="H35" s="380"/>
      <c r="I35" s="378"/>
      <c r="J35" s="376"/>
      <c r="K35" s="373"/>
      <c r="L35" s="386"/>
      <c r="M35" s="389"/>
      <c r="N35" s="142"/>
      <c r="O35" s="373"/>
      <c r="P35" s="386"/>
      <c r="Q35" s="383"/>
      <c r="R35" s="130">
        <v>2</v>
      </c>
      <c r="S35" s="98"/>
      <c r="T35" s="131" t="str">
        <f t="shared" si="45"/>
        <v/>
      </c>
      <c r="U35" s="132"/>
      <c r="V35" s="132"/>
      <c r="W35" s="133"/>
      <c r="X35" s="132"/>
      <c r="Y35" s="132"/>
      <c r="Z35" s="132"/>
      <c r="AA35" s="134" t="str">
        <f>IFERROR(IF(T35="Probabilidad",(AA34-(+AA34*W35)),IF(T35="Impacto",L35,"")),"")</f>
        <v/>
      </c>
      <c r="AB35" s="135" t="str">
        <f t="shared" si="47"/>
        <v/>
      </c>
      <c r="AC35" s="136" t="str">
        <f t="shared" si="48"/>
        <v/>
      </c>
      <c r="AD35" s="135" t="str">
        <f t="shared" si="49"/>
        <v/>
      </c>
      <c r="AE35" s="136" t="str">
        <f t="shared" si="50"/>
        <v/>
      </c>
      <c r="AF35" s="137" t="str">
        <f t="shared" si="51"/>
        <v/>
      </c>
      <c r="AG35" s="138"/>
      <c r="AH35" s="119"/>
      <c r="AI35" s="127"/>
      <c r="AJ35" s="143"/>
      <c r="AK35" s="143"/>
      <c r="AL35" s="119"/>
      <c r="AM35" s="127"/>
    </row>
    <row r="36" spans="1:39" s="164" customFormat="1" ht="151.5" customHeight="1" x14ac:dyDescent="0.35">
      <c r="A36" s="394"/>
      <c r="B36" s="371"/>
      <c r="C36" s="393"/>
      <c r="D36" s="393"/>
      <c r="E36" s="378"/>
      <c r="F36" s="378"/>
      <c r="G36" s="378"/>
      <c r="H36" s="380"/>
      <c r="I36" s="378"/>
      <c r="J36" s="376"/>
      <c r="K36" s="374"/>
      <c r="L36" s="387"/>
      <c r="M36" s="389"/>
      <c r="N36" s="142"/>
      <c r="O36" s="374"/>
      <c r="P36" s="387"/>
      <c r="Q36" s="384"/>
      <c r="R36" s="130">
        <v>3</v>
      </c>
      <c r="S36" s="98"/>
      <c r="T36" s="131" t="str">
        <f t="shared" si="45"/>
        <v/>
      </c>
      <c r="U36" s="132"/>
      <c r="V36" s="132"/>
      <c r="W36" s="133"/>
      <c r="X36" s="132"/>
      <c r="Y36" s="132"/>
      <c r="Z36" s="132"/>
      <c r="AA36" s="134" t="str">
        <f>IFERROR(IF(T36="Probabilidad",(AA35-(+AA35*W36)),IF(T36="Impacto",L36,"")),"")</f>
        <v/>
      </c>
      <c r="AB36" s="135" t="str">
        <f t="shared" si="47"/>
        <v/>
      </c>
      <c r="AC36" s="136" t="str">
        <f t="shared" si="48"/>
        <v/>
      </c>
      <c r="AD36" s="135" t="str">
        <f t="shared" si="49"/>
        <v/>
      </c>
      <c r="AE36" s="136" t="str">
        <f t="shared" si="50"/>
        <v/>
      </c>
      <c r="AF36" s="137" t="str">
        <f t="shared" si="51"/>
        <v/>
      </c>
      <c r="AG36" s="138"/>
      <c r="AH36" s="119"/>
      <c r="AI36" s="127"/>
      <c r="AJ36" s="143"/>
      <c r="AK36" s="143"/>
      <c r="AL36" s="119"/>
      <c r="AM36" s="127"/>
    </row>
    <row r="37" spans="1:39" s="164" customFormat="1" ht="176.25" customHeight="1" x14ac:dyDescent="0.35">
      <c r="A37" s="394">
        <v>11</v>
      </c>
      <c r="B37" s="369" t="s">
        <v>237</v>
      </c>
      <c r="C37" s="390" t="s">
        <v>355</v>
      </c>
      <c r="D37" s="390" t="s">
        <v>383</v>
      </c>
      <c r="E37" s="377" t="s">
        <v>120</v>
      </c>
      <c r="F37" s="381" t="s">
        <v>367</v>
      </c>
      <c r="G37" s="381" t="s">
        <v>365</v>
      </c>
      <c r="H37" s="379" t="s">
        <v>238</v>
      </c>
      <c r="I37" s="377" t="s">
        <v>115</v>
      </c>
      <c r="J37" s="375">
        <v>20</v>
      </c>
      <c r="K37" s="372" t="str">
        <f>IF(J37&lt;=0,"",IF(J37&lt;=2,"Muy Baja",IF(J37&lt;=24,"Baja",IF(J37&lt;=500,"Media",IF(J37&lt;=5000,"Alta","Muy Alta")))))</f>
        <v>Baja</v>
      </c>
      <c r="L37" s="385">
        <f>IF(K37="","",IF(K37="Muy Baja",0.2,IF(K37="Baja",0.4,IF(K37="Media",0.6,IF(K37="Alta",0.8,IF(K37="Muy Alta",1,))))))</f>
        <v>0.4</v>
      </c>
      <c r="M37" s="388" t="s">
        <v>486</v>
      </c>
      <c r="N37" s="129" t="str">
        <f>IF(NOT(ISERROR(MATCH(M37,'Tabla Impacto'!$B$221:$B$223,0))),'Tabla Impacto'!$F$223&amp;"Por favor no seleccionar los criterios de impacto(Afectación Económica o presupuestal y Pérdida Reputacional)",M37)</f>
        <v xml:space="preserve"> El riesgo afecta la imagen de la entidad con algunos usuarios de relevancia frente al logro de los objetivos</v>
      </c>
      <c r="O37" s="372" t="str">
        <f>IF(OR(N37='Tabla Impacto'!$C$11,N37='Tabla Impacto'!$D$11),"Leve",IF(OR(N37='Tabla Impacto'!$C$12,N37='Tabla Impacto'!$D$12),"Menor",IF(OR(N37='Tabla Impacto'!$C$13,N37='Tabla Impacto'!$D$13),"Moderado",IF(OR(N37='Tabla Impacto'!$C$14,N37='Tabla Impacto'!$D$14),"Mayor",IF(OR(N37='Tabla Impacto'!$C$15,N37='Tabla Impacto'!$D$15),"Catastrófico","")))))</f>
        <v>Moderado</v>
      </c>
      <c r="P37" s="385">
        <f>IF(O37="","",IF(O37="Leve",0.2,IF(O37="Menor",0.4,IF(O37="Moderado",0.6,IF(O37="Mayor",0.8,IF(O37="Catastrófico",1,))))))</f>
        <v>0.6</v>
      </c>
      <c r="Q37" s="382" t="str">
        <f>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130">
        <v>1</v>
      </c>
      <c r="S37" s="98" t="s">
        <v>546</v>
      </c>
      <c r="T37" s="131" t="str">
        <f t="shared" si="45"/>
        <v>Probabilidad</v>
      </c>
      <c r="U37" s="132" t="s">
        <v>14</v>
      </c>
      <c r="V37" s="132" t="s">
        <v>9</v>
      </c>
      <c r="W37" s="133" t="str">
        <f t="shared" si="46"/>
        <v>40%</v>
      </c>
      <c r="X37" s="132" t="s">
        <v>19</v>
      </c>
      <c r="Y37" s="132" t="s">
        <v>22</v>
      </c>
      <c r="Z37" s="132" t="s">
        <v>110</v>
      </c>
      <c r="AA37" s="134">
        <f t="shared" si="52"/>
        <v>0.24</v>
      </c>
      <c r="AB37" s="135" t="str">
        <f t="shared" si="47"/>
        <v>Baja</v>
      </c>
      <c r="AC37" s="136">
        <f t="shared" si="48"/>
        <v>0.24</v>
      </c>
      <c r="AD37" s="135" t="str">
        <f t="shared" si="49"/>
        <v>Moderado</v>
      </c>
      <c r="AE37" s="136">
        <f t="shared" si="50"/>
        <v>0.6</v>
      </c>
      <c r="AF37" s="137" t="str">
        <f t="shared" si="51"/>
        <v>Moderado</v>
      </c>
      <c r="AG37" s="138" t="s">
        <v>122</v>
      </c>
      <c r="AH37" s="119" t="s">
        <v>368</v>
      </c>
      <c r="AI37" s="127" t="s">
        <v>239</v>
      </c>
      <c r="AJ37" s="128">
        <v>44562</v>
      </c>
      <c r="AK37" s="128" t="s">
        <v>373</v>
      </c>
      <c r="AL37" s="119" t="s">
        <v>366</v>
      </c>
      <c r="AM37" s="140"/>
    </row>
    <row r="38" spans="1:39" s="164" customFormat="1" ht="151.5" customHeight="1" x14ac:dyDescent="0.35">
      <c r="A38" s="394"/>
      <c r="B38" s="370"/>
      <c r="C38" s="393"/>
      <c r="D38" s="393"/>
      <c r="E38" s="378"/>
      <c r="F38" s="378"/>
      <c r="G38" s="378"/>
      <c r="H38" s="380"/>
      <c r="I38" s="378"/>
      <c r="J38" s="376"/>
      <c r="K38" s="373"/>
      <c r="L38" s="386"/>
      <c r="M38" s="389"/>
      <c r="N38" s="142"/>
      <c r="O38" s="373"/>
      <c r="P38" s="386"/>
      <c r="Q38" s="383"/>
      <c r="R38" s="130">
        <v>2</v>
      </c>
      <c r="S38" s="98"/>
      <c r="T38" s="131" t="str">
        <f t="shared" si="45"/>
        <v/>
      </c>
      <c r="U38" s="132"/>
      <c r="V38" s="132"/>
      <c r="W38" s="133"/>
      <c r="X38" s="132"/>
      <c r="Y38" s="132"/>
      <c r="Z38" s="132"/>
      <c r="AA38" s="134" t="str">
        <f>IFERROR(IF(T38="Probabilidad",(AA37-(+AA37*W38)),IF(T38="Impacto",L38,"")),"")</f>
        <v/>
      </c>
      <c r="AB38" s="135" t="str">
        <f t="shared" si="47"/>
        <v/>
      </c>
      <c r="AC38" s="136" t="str">
        <f t="shared" si="48"/>
        <v/>
      </c>
      <c r="AD38" s="135" t="str">
        <f t="shared" si="49"/>
        <v/>
      </c>
      <c r="AE38" s="136" t="str">
        <f t="shared" si="50"/>
        <v/>
      </c>
      <c r="AF38" s="137" t="str">
        <f t="shared" si="51"/>
        <v/>
      </c>
      <c r="AG38" s="138"/>
      <c r="AH38" s="119"/>
      <c r="AI38" s="127"/>
      <c r="AJ38" s="143"/>
      <c r="AK38" s="143"/>
      <c r="AL38" s="119"/>
      <c r="AM38" s="140"/>
    </row>
    <row r="39" spans="1:39" s="164" customFormat="1" ht="151.5" customHeight="1" x14ac:dyDescent="0.35">
      <c r="A39" s="396"/>
      <c r="B39" s="371"/>
      <c r="C39" s="393"/>
      <c r="D39" s="393"/>
      <c r="E39" s="378"/>
      <c r="F39" s="378"/>
      <c r="G39" s="378"/>
      <c r="H39" s="380"/>
      <c r="I39" s="378"/>
      <c r="J39" s="376"/>
      <c r="K39" s="374"/>
      <c r="L39" s="387"/>
      <c r="M39" s="389"/>
      <c r="N39" s="142"/>
      <c r="O39" s="374"/>
      <c r="P39" s="387"/>
      <c r="Q39" s="384"/>
      <c r="R39" s="130">
        <v>3</v>
      </c>
      <c r="S39" s="98"/>
      <c r="T39" s="131" t="str">
        <f t="shared" si="45"/>
        <v/>
      </c>
      <c r="U39" s="132"/>
      <c r="V39" s="132"/>
      <c r="W39" s="133"/>
      <c r="X39" s="132"/>
      <c r="Y39" s="132"/>
      <c r="Z39" s="132"/>
      <c r="AA39" s="134" t="str">
        <f>IFERROR(IF(T39="Probabilidad",(AA38-(+AA38*W39)),IF(T39="Impacto",L39,"")),"")</f>
        <v/>
      </c>
      <c r="AB39" s="135" t="str">
        <f t="shared" si="47"/>
        <v/>
      </c>
      <c r="AC39" s="136" t="str">
        <f t="shared" si="48"/>
        <v/>
      </c>
      <c r="AD39" s="135" t="str">
        <f t="shared" si="49"/>
        <v/>
      </c>
      <c r="AE39" s="136" t="str">
        <f t="shared" si="50"/>
        <v/>
      </c>
      <c r="AF39" s="137" t="str">
        <f t="shared" si="51"/>
        <v/>
      </c>
      <c r="AG39" s="138"/>
      <c r="AH39" s="119"/>
      <c r="AI39" s="127"/>
      <c r="AJ39" s="143"/>
      <c r="AK39" s="143"/>
      <c r="AL39" s="119"/>
      <c r="AM39" s="140"/>
    </row>
    <row r="40" spans="1:39" s="164" customFormat="1" ht="183.75" customHeight="1" x14ac:dyDescent="0.35">
      <c r="A40" s="395">
        <v>12</v>
      </c>
      <c r="B40" s="369" t="s">
        <v>237</v>
      </c>
      <c r="C40" s="390" t="s">
        <v>355</v>
      </c>
      <c r="D40" s="390" t="s">
        <v>383</v>
      </c>
      <c r="E40" s="377" t="s">
        <v>120</v>
      </c>
      <c r="F40" s="378" t="s">
        <v>440</v>
      </c>
      <c r="G40" s="378" t="s">
        <v>441</v>
      </c>
      <c r="H40" s="379" t="s">
        <v>442</v>
      </c>
      <c r="I40" s="377" t="s">
        <v>328</v>
      </c>
      <c r="J40" s="375">
        <v>2</v>
      </c>
      <c r="K40" s="372" t="str">
        <f>IF(J40&lt;=0,"",IF(J40&lt;=2,"Muy Baja",IF(J40&lt;=24,"Baja",IF(J40&lt;=500,"Media",IF(J40&lt;=5000,"Alta","Muy Alta")))))</f>
        <v>Muy Baja</v>
      </c>
      <c r="L40" s="385">
        <f>IF(K40="","",IF(K40="Muy Baja",0.2,IF(K40="Baja",0.4,IF(K40="Media",0.6,IF(K40="Alta",0.8,IF(K40="Muy Alta",1,))))))</f>
        <v>0.2</v>
      </c>
      <c r="M40" s="388" t="s">
        <v>486</v>
      </c>
      <c r="N40" s="129" t="str">
        <f>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372" t="str">
        <f>IF(OR(N40='Tabla Impacto'!$C$11,N40='Tabla Impacto'!$D$11),"Leve",IF(OR(N40='Tabla Impacto'!$C$12,N40='Tabla Impacto'!$D$12),"Menor",IF(OR(N40='Tabla Impacto'!$C$13,N40='Tabla Impacto'!$D$13),"Moderado",IF(OR(N40='Tabla Impacto'!$C$14,N40='Tabla Impacto'!$D$14),"Mayor",IF(OR(N40='Tabla Impacto'!$C$15,N40='Tabla Impacto'!$D$15),"Catastrófico","")))))</f>
        <v>Moderado</v>
      </c>
      <c r="P40" s="385">
        <f>IF(O40="","",IF(O40="Leve",0.2,IF(O40="Menor",0.4,IF(O40="Moderado",0.6,IF(O40="Mayor",0.8,IF(O40="Catastrófico",1,))))))</f>
        <v>0.6</v>
      </c>
      <c r="Q40" s="382" t="str">
        <f>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30">
        <v>1</v>
      </c>
      <c r="S40" s="98" t="s">
        <v>369</v>
      </c>
      <c r="T40" s="131" t="str">
        <f t="shared" si="45"/>
        <v>Probabilidad</v>
      </c>
      <c r="U40" s="132" t="s">
        <v>14</v>
      </c>
      <c r="V40" s="132" t="s">
        <v>9</v>
      </c>
      <c r="W40" s="133" t="str">
        <f t="shared" si="46"/>
        <v>40%</v>
      </c>
      <c r="X40" s="132" t="s">
        <v>19</v>
      </c>
      <c r="Y40" s="132" t="s">
        <v>22</v>
      </c>
      <c r="Z40" s="132" t="s">
        <v>110</v>
      </c>
      <c r="AA40" s="134">
        <f t="shared" si="52"/>
        <v>0.12</v>
      </c>
      <c r="AB40" s="135" t="str">
        <f t="shared" si="47"/>
        <v>Muy Baja</v>
      </c>
      <c r="AC40" s="136">
        <f t="shared" si="48"/>
        <v>0.12</v>
      </c>
      <c r="AD40" s="135" t="str">
        <f t="shared" si="49"/>
        <v>Moderado</v>
      </c>
      <c r="AE40" s="136">
        <f t="shared" si="50"/>
        <v>0.6</v>
      </c>
      <c r="AF40" s="137" t="str">
        <f t="shared" si="51"/>
        <v>Moderado</v>
      </c>
      <c r="AG40" s="138" t="s">
        <v>122</v>
      </c>
      <c r="AH40" s="119" t="s">
        <v>370</v>
      </c>
      <c r="AI40" s="127" t="s">
        <v>239</v>
      </c>
      <c r="AJ40" s="128">
        <v>44562</v>
      </c>
      <c r="AK40" s="128" t="s">
        <v>373</v>
      </c>
      <c r="AL40" s="119" t="s">
        <v>371</v>
      </c>
      <c r="AM40" s="140"/>
    </row>
    <row r="41" spans="1:39" s="164" customFormat="1" ht="151.5" customHeight="1" x14ac:dyDescent="0.35">
      <c r="A41" s="394"/>
      <c r="B41" s="370"/>
      <c r="C41" s="393"/>
      <c r="D41" s="393"/>
      <c r="E41" s="378"/>
      <c r="F41" s="378" t="s">
        <v>240</v>
      </c>
      <c r="G41" s="378" t="s">
        <v>241</v>
      </c>
      <c r="H41" s="380"/>
      <c r="I41" s="378"/>
      <c r="J41" s="376"/>
      <c r="K41" s="373"/>
      <c r="L41" s="386"/>
      <c r="M41" s="389"/>
      <c r="N41" s="142"/>
      <c r="O41" s="373"/>
      <c r="P41" s="386"/>
      <c r="Q41" s="383"/>
      <c r="R41" s="130">
        <v>2</v>
      </c>
      <c r="S41" s="98"/>
      <c r="T41" s="131" t="str">
        <f t="shared" si="45"/>
        <v/>
      </c>
      <c r="U41" s="132"/>
      <c r="V41" s="132"/>
      <c r="W41" s="133"/>
      <c r="X41" s="132"/>
      <c r="Y41" s="132"/>
      <c r="Z41" s="132"/>
      <c r="AA41" s="134"/>
      <c r="AB41" s="135"/>
      <c r="AC41" s="136"/>
      <c r="AD41" s="135"/>
      <c r="AE41" s="136"/>
      <c r="AF41" s="137"/>
      <c r="AG41" s="138"/>
      <c r="AH41" s="119"/>
      <c r="AI41" s="127"/>
      <c r="AJ41" s="143"/>
      <c r="AK41" s="143"/>
      <c r="AL41" s="119"/>
      <c r="AM41" s="140"/>
    </row>
    <row r="42" spans="1:39" s="164" customFormat="1" ht="151.5" customHeight="1" x14ac:dyDescent="0.35">
      <c r="A42" s="394"/>
      <c r="B42" s="371"/>
      <c r="C42" s="393"/>
      <c r="D42" s="393"/>
      <c r="E42" s="378"/>
      <c r="F42" s="378" t="s">
        <v>240</v>
      </c>
      <c r="G42" s="378" t="s">
        <v>241</v>
      </c>
      <c r="H42" s="380"/>
      <c r="I42" s="378"/>
      <c r="J42" s="376"/>
      <c r="K42" s="374"/>
      <c r="L42" s="387"/>
      <c r="M42" s="389"/>
      <c r="N42" s="142"/>
      <c r="O42" s="374"/>
      <c r="P42" s="387"/>
      <c r="Q42" s="384"/>
      <c r="R42" s="130">
        <v>3</v>
      </c>
      <c r="S42" s="98"/>
      <c r="T42" s="131" t="str">
        <f t="shared" si="45"/>
        <v/>
      </c>
      <c r="U42" s="132"/>
      <c r="V42" s="132"/>
      <c r="W42" s="133"/>
      <c r="X42" s="132"/>
      <c r="Y42" s="132"/>
      <c r="Z42" s="132"/>
      <c r="AA42" s="134"/>
      <c r="AB42" s="135"/>
      <c r="AC42" s="136"/>
      <c r="AD42" s="135"/>
      <c r="AE42" s="136"/>
      <c r="AF42" s="137"/>
      <c r="AG42" s="138"/>
      <c r="AH42" s="119"/>
      <c r="AI42" s="127"/>
      <c r="AJ42" s="143"/>
      <c r="AK42" s="143"/>
      <c r="AL42" s="119"/>
      <c r="AM42" s="140"/>
    </row>
    <row r="43" spans="1:39" s="164" customFormat="1" ht="151.5" customHeight="1" x14ac:dyDescent="0.35">
      <c r="A43" s="394">
        <v>13</v>
      </c>
      <c r="B43" s="369" t="s">
        <v>242</v>
      </c>
      <c r="C43" s="390" t="s">
        <v>385</v>
      </c>
      <c r="D43" s="390" t="s">
        <v>249</v>
      </c>
      <c r="E43" s="377" t="s">
        <v>120</v>
      </c>
      <c r="F43" s="381" t="s">
        <v>243</v>
      </c>
      <c r="G43" s="381" t="s">
        <v>244</v>
      </c>
      <c r="H43" s="379" t="s">
        <v>384</v>
      </c>
      <c r="I43" s="377" t="s">
        <v>328</v>
      </c>
      <c r="J43" s="375">
        <v>12</v>
      </c>
      <c r="K43" s="372" t="str">
        <f>IF(J43&lt;=0,"",IF(J43&lt;=2,"Muy Baja",IF(J43&lt;=24,"Baja",IF(J43&lt;=500,"Media",IF(J43&lt;=5000,"Alta","Muy Alta")))))</f>
        <v>Baja</v>
      </c>
      <c r="L43" s="385">
        <f>IF(K43="","",IF(K43="Muy Baja",0.2,IF(K43="Baja",0.4,IF(K43="Media",0.6,IF(K43="Alta",0.8,IF(K43="Muy Alta",1,))))))</f>
        <v>0.4</v>
      </c>
      <c r="M43" s="388" t="s">
        <v>486</v>
      </c>
      <c r="N43" s="129" t="str">
        <f>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372" t="str">
        <f>IF(OR(N43='Tabla Impacto'!$C$11,N43='Tabla Impacto'!$D$11),"Leve",IF(OR(N43='Tabla Impacto'!$C$12,N43='Tabla Impacto'!$D$12),"Menor",IF(OR(N43='Tabla Impacto'!$C$13,N43='Tabla Impacto'!$D$13),"Moderado",IF(OR(N43='Tabla Impacto'!$C$14,N43='Tabla Impacto'!$D$14),"Mayor",IF(OR(N43='Tabla Impacto'!$C$15,N43='Tabla Impacto'!$D$15),"Catastrófico","")))))</f>
        <v>Moderado</v>
      </c>
      <c r="P43" s="385">
        <f>IF(O43="","",IF(O43="Leve",0.2,IF(O43="Menor",0.4,IF(O43="Moderado",0.6,IF(O43="Mayor",0.8,IF(O43="Catastrófico",1,))))))</f>
        <v>0.6</v>
      </c>
      <c r="Q43" s="382" t="str">
        <f>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Moderado</v>
      </c>
      <c r="R43" s="130">
        <v>1</v>
      </c>
      <c r="S43" s="98" t="s">
        <v>245</v>
      </c>
      <c r="T43" s="131" t="str">
        <f t="shared" si="45"/>
        <v>Probabilidad</v>
      </c>
      <c r="U43" s="132" t="s">
        <v>14</v>
      </c>
      <c r="V43" s="132" t="s">
        <v>9</v>
      </c>
      <c r="W43" s="133" t="str">
        <f t="shared" si="46"/>
        <v>40%</v>
      </c>
      <c r="X43" s="132" t="s">
        <v>19</v>
      </c>
      <c r="Y43" s="132" t="s">
        <v>22</v>
      </c>
      <c r="Z43" s="132" t="s">
        <v>110</v>
      </c>
      <c r="AA43" s="134">
        <f t="shared" si="52"/>
        <v>0.24</v>
      </c>
      <c r="AB43" s="135" t="str">
        <f t="shared" si="47"/>
        <v>Baja</v>
      </c>
      <c r="AC43" s="136">
        <f t="shared" si="48"/>
        <v>0.24</v>
      </c>
      <c r="AD43" s="135" t="str">
        <f t="shared" si="49"/>
        <v>Moderado</v>
      </c>
      <c r="AE43" s="136">
        <f t="shared" si="50"/>
        <v>0.6</v>
      </c>
      <c r="AF43" s="137" t="str">
        <f t="shared" si="51"/>
        <v>Moderado</v>
      </c>
      <c r="AG43" s="138" t="s">
        <v>122</v>
      </c>
      <c r="AH43" s="119" t="s">
        <v>246</v>
      </c>
      <c r="AI43" s="127" t="s">
        <v>203</v>
      </c>
      <c r="AJ43" s="143">
        <v>44562</v>
      </c>
      <c r="AK43" s="143">
        <v>44926</v>
      </c>
      <c r="AL43" s="119" t="s">
        <v>247</v>
      </c>
      <c r="AM43" s="140"/>
    </row>
    <row r="44" spans="1:39" s="164" customFormat="1" ht="151.5" customHeight="1" x14ac:dyDescent="0.35">
      <c r="A44" s="394"/>
      <c r="B44" s="370"/>
      <c r="C44" s="393"/>
      <c r="D44" s="391"/>
      <c r="E44" s="378"/>
      <c r="F44" s="378"/>
      <c r="G44" s="378"/>
      <c r="H44" s="380"/>
      <c r="I44" s="378"/>
      <c r="J44" s="376"/>
      <c r="K44" s="373"/>
      <c r="L44" s="386"/>
      <c r="M44" s="389"/>
      <c r="N44" s="142"/>
      <c r="O44" s="373"/>
      <c r="P44" s="386"/>
      <c r="Q44" s="383"/>
      <c r="R44" s="130">
        <v>2</v>
      </c>
      <c r="S44" s="98" t="s">
        <v>205</v>
      </c>
      <c r="T44" s="131" t="str">
        <f t="shared" si="45"/>
        <v>Probabilidad</v>
      </c>
      <c r="U44" s="132" t="s">
        <v>14</v>
      </c>
      <c r="V44" s="132" t="s">
        <v>9</v>
      </c>
      <c r="W44" s="133" t="str">
        <f t="shared" si="46"/>
        <v>40%</v>
      </c>
      <c r="X44" s="132" t="s">
        <v>19</v>
      </c>
      <c r="Y44" s="132" t="s">
        <v>22</v>
      </c>
      <c r="Z44" s="132" t="s">
        <v>110</v>
      </c>
      <c r="AA44" s="155">
        <f>IFERROR(IF(T44="Probabilidad",(AA43-(+AA43*W44)),IF(T44="Impacto",L44,"")),"")</f>
        <v>0.14399999999999999</v>
      </c>
      <c r="AB44" s="135" t="str">
        <f t="shared" si="47"/>
        <v>Muy Baja</v>
      </c>
      <c r="AC44" s="136">
        <f t="shared" si="48"/>
        <v>0.14399999999999999</v>
      </c>
      <c r="AD44" s="135" t="str">
        <f t="shared" si="49"/>
        <v>Moderado</v>
      </c>
      <c r="AE44" s="136">
        <v>0.6</v>
      </c>
      <c r="AF44" s="137" t="str">
        <f t="shared" si="51"/>
        <v>Moderado</v>
      </c>
      <c r="AG44" s="138" t="s">
        <v>122</v>
      </c>
      <c r="AH44" s="119" t="s">
        <v>248</v>
      </c>
      <c r="AI44" s="127" t="s">
        <v>203</v>
      </c>
      <c r="AJ44" s="143">
        <v>44562</v>
      </c>
      <c r="AK44" s="143">
        <v>44926</v>
      </c>
      <c r="AL44" s="119" t="s">
        <v>247</v>
      </c>
      <c r="AM44" s="140"/>
    </row>
    <row r="45" spans="1:39" s="164" customFormat="1" ht="151.5" customHeight="1" x14ac:dyDescent="0.35">
      <c r="A45" s="394"/>
      <c r="B45" s="371"/>
      <c r="C45" s="393"/>
      <c r="D45" s="391"/>
      <c r="E45" s="378"/>
      <c r="F45" s="378"/>
      <c r="G45" s="378"/>
      <c r="H45" s="380"/>
      <c r="I45" s="378"/>
      <c r="J45" s="376"/>
      <c r="K45" s="374"/>
      <c r="L45" s="387"/>
      <c r="M45" s="389"/>
      <c r="N45" s="142"/>
      <c r="O45" s="374"/>
      <c r="P45" s="387"/>
      <c r="Q45" s="384"/>
      <c r="R45" s="130">
        <v>3</v>
      </c>
      <c r="S45" s="98"/>
      <c r="T45" s="131" t="str">
        <f t="shared" si="45"/>
        <v/>
      </c>
      <c r="U45" s="132"/>
      <c r="V45" s="132"/>
      <c r="W45" s="133"/>
      <c r="X45" s="132"/>
      <c r="Y45" s="132"/>
      <c r="Z45" s="132"/>
      <c r="AA45" s="134" t="str">
        <f>IFERROR(IF(T45="Probabilidad",(AA44-(+AA44*W45)),IF(T45="Impacto",L45,"")),"")</f>
        <v/>
      </c>
      <c r="AB45" s="135" t="str">
        <f t="shared" si="47"/>
        <v/>
      </c>
      <c r="AC45" s="136" t="str">
        <f t="shared" si="48"/>
        <v/>
      </c>
      <c r="AD45" s="135" t="str">
        <f t="shared" si="49"/>
        <v/>
      </c>
      <c r="AE45" s="136" t="str">
        <f t="shared" si="50"/>
        <v/>
      </c>
      <c r="AF45" s="137" t="str">
        <f t="shared" si="51"/>
        <v/>
      </c>
      <c r="AG45" s="138"/>
      <c r="AH45" s="119"/>
      <c r="AI45" s="127"/>
      <c r="AJ45" s="143"/>
      <c r="AK45" s="143"/>
      <c r="AL45" s="119"/>
      <c r="AM45" s="140"/>
    </row>
    <row r="46" spans="1:39" s="164" customFormat="1" ht="151.5" customHeight="1" x14ac:dyDescent="0.35">
      <c r="A46" s="394">
        <v>14</v>
      </c>
      <c r="B46" s="369" t="s">
        <v>242</v>
      </c>
      <c r="C46" s="390" t="s">
        <v>385</v>
      </c>
      <c r="D46" s="390" t="s">
        <v>249</v>
      </c>
      <c r="E46" s="377" t="s">
        <v>120</v>
      </c>
      <c r="F46" s="377" t="s">
        <v>250</v>
      </c>
      <c r="G46" s="381" t="s">
        <v>251</v>
      </c>
      <c r="H46" s="379" t="s">
        <v>252</v>
      </c>
      <c r="I46" s="377" t="s">
        <v>328</v>
      </c>
      <c r="J46" s="375">
        <v>900</v>
      </c>
      <c r="K46" s="372" t="str">
        <f>IF(J46&lt;=0,"",IF(J46&lt;=2,"Muy Baja",IF(J46&lt;=24,"Baja",IF(J46&lt;=500,"Media",IF(J46&lt;=5000,"Alta","Muy Alta")))))</f>
        <v>Alta</v>
      </c>
      <c r="L46" s="385">
        <f>IF(K46="","",IF(K46="Muy Baja",0.2,IF(K46="Baja",0.4,IF(K46="Media",0.6,IF(K46="Alta",0.8,IF(K46="Muy Alta",1,))))))</f>
        <v>0.8</v>
      </c>
      <c r="M46" s="388" t="s">
        <v>486</v>
      </c>
      <c r="N46" s="129" t="str">
        <f>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372" t="str">
        <f>IF(OR(N46='Tabla Impacto'!$C$11,N46='Tabla Impacto'!$D$11),"Leve",IF(OR(N46='Tabla Impacto'!$C$12,N46='Tabla Impacto'!$D$12),"Menor",IF(OR(N46='Tabla Impacto'!$C$13,N46='Tabla Impacto'!$D$13),"Moderado",IF(OR(N46='Tabla Impacto'!$C$14,N46='Tabla Impacto'!$D$14),"Mayor",IF(OR(N46='Tabla Impacto'!$C$15,N46='Tabla Impacto'!$D$15),"Catastrófico","")))))</f>
        <v>Moderado</v>
      </c>
      <c r="P46" s="385">
        <f>IF(O46="","",IF(O46="Leve",0.2,IF(O46="Menor",0.4,IF(O46="Moderado",0.6,IF(O46="Mayor",0.8,IF(O46="Catastrófico",1,))))))</f>
        <v>0.6</v>
      </c>
      <c r="Q46" s="382" t="str">
        <f>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Alto</v>
      </c>
      <c r="R46" s="130">
        <v>1</v>
      </c>
      <c r="S46" s="98" t="s">
        <v>253</v>
      </c>
      <c r="T46" s="131" t="str">
        <f t="shared" ref="T46:T48" si="53">IF(OR(U46="Preventivo",U46="Detectivo"),"Probabilidad",IF(U46="Correctivo","Impacto",""))</f>
        <v>Probabilidad</v>
      </c>
      <c r="U46" s="132" t="s">
        <v>14</v>
      </c>
      <c r="V46" s="132" t="s">
        <v>9</v>
      </c>
      <c r="W46" s="133" t="str">
        <f t="shared" ref="W46" si="54">IF(AND(U46="Preventivo",V46="Automático"),"50%",IF(AND(U46="Preventivo",V46="Manual"),"40%",IF(AND(U46="Detectivo",V46="Automático"),"40%",IF(AND(U46="Detectivo",V46="Manual"),"30%",IF(AND(U46="Correctivo",V46="Automático"),"35%",IF(AND(U46="Correctivo",V46="Manual"),"25%",""))))))</f>
        <v>40%</v>
      </c>
      <c r="X46" s="132" t="s">
        <v>19</v>
      </c>
      <c r="Y46" s="132" t="s">
        <v>22</v>
      </c>
      <c r="Z46" s="132" t="s">
        <v>110</v>
      </c>
      <c r="AA46" s="134">
        <f t="shared" ref="AA46" si="55">IFERROR(IF(T46="Probabilidad",(L46-(+L46*W46)),IF(T46="Impacto",L46,"")),"")</f>
        <v>0.48</v>
      </c>
      <c r="AB46" s="135" t="str">
        <f t="shared" ref="AB46:AB48" si="56">IFERROR(IF(AA46="","",IF(AA46&lt;=0.2,"Muy Baja",IF(AA46&lt;=0.4,"Baja",IF(AA46&lt;=0.6,"Media",IF(AA46&lt;=0.8,"Alta","Muy Alta"))))),"")</f>
        <v>Media</v>
      </c>
      <c r="AC46" s="136">
        <f t="shared" ref="AC46:AC48" si="57">+AA46</f>
        <v>0.48</v>
      </c>
      <c r="AD46" s="135" t="str">
        <f t="shared" ref="AD46:AD48" si="58">IFERROR(IF(AE46="","",IF(AE46&lt;=0.2,"Leve",IF(AE46&lt;=0.4,"Menor",IF(AE46&lt;=0.6,"Moderado",IF(AE46&lt;=0.8,"Mayor","Catastrófico"))))),"")</f>
        <v>Moderado</v>
      </c>
      <c r="AE46" s="136">
        <f t="shared" ref="AE46:AE48" si="59">IFERROR(IF(T46="Impacto",(P46-(+P46*W46)),IF(T46="Probabilidad",P46,"")),"")</f>
        <v>0.6</v>
      </c>
      <c r="AF46" s="137" t="str">
        <f t="shared" ref="AF46:AF48" si="60">IFERROR(IF(OR(AND(AB46="Muy Baja",AD46="Leve"),AND(AB46="Muy Baja",AD46="Menor"),AND(AB46="Baja",AD46="Leve")),"Bajo",IF(OR(AND(AB46="Muy baja",AD46="Moderado"),AND(AB46="Baja",AD46="Menor"),AND(AB46="Baja",AD46="Moderado"),AND(AB46="Media",AD46="Leve"),AND(AB46="Media",AD46="Menor"),AND(AB46="Media",AD46="Moderado"),AND(AB46="Alta",AD46="Leve"),AND(AB46="Alta",AD46="Menor")),"Moderado",IF(OR(AND(AB46="Muy Baja",AD46="Mayor"),AND(AB46="Baja",AD46="Mayor"),AND(AB46="Media",AD46="Mayor"),AND(AB46="Alta",AD46="Moderado"),AND(AB46="Alta",AD46="Mayor"),AND(AB46="Muy Alta",AD46="Leve"),AND(AB46="Muy Alta",AD46="Menor"),AND(AB46="Muy Alta",AD46="Moderado"),AND(AB46="Muy Alta",AD46="Mayor")),"Alto",IF(OR(AND(AB46="Muy Baja",AD46="Catastrófico"),AND(AB46="Baja",AD46="Catastrófico"),AND(AB46="Media",AD46="Catastrófico"),AND(AB46="Alta",AD46="Catastrófico"),AND(AB46="Muy Alta",AD46="Catastrófico")),"Extremo","")))),"")</f>
        <v>Moderado</v>
      </c>
      <c r="AG46" s="138" t="s">
        <v>122</v>
      </c>
      <c r="AH46" s="119" t="s">
        <v>254</v>
      </c>
      <c r="AI46" s="127" t="s">
        <v>203</v>
      </c>
      <c r="AJ46" s="143">
        <v>44562</v>
      </c>
      <c r="AK46" s="143">
        <v>44926</v>
      </c>
      <c r="AL46" s="119" t="s">
        <v>255</v>
      </c>
      <c r="AM46" s="140"/>
    </row>
    <row r="47" spans="1:39" s="164" customFormat="1" ht="151.5" customHeight="1" x14ac:dyDescent="0.35">
      <c r="A47" s="394"/>
      <c r="B47" s="370"/>
      <c r="C47" s="393"/>
      <c r="D47" s="391"/>
      <c r="E47" s="378"/>
      <c r="F47" s="378"/>
      <c r="G47" s="378"/>
      <c r="H47" s="380"/>
      <c r="I47" s="378"/>
      <c r="J47" s="376"/>
      <c r="K47" s="373"/>
      <c r="L47" s="386"/>
      <c r="M47" s="389"/>
      <c r="N47" s="142"/>
      <c r="O47" s="373"/>
      <c r="P47" s="386"/>
      <c r="Q47" s="383"/>
      <c r="R47" s="130">
        <v>2</v>
      </c>
      <c r="S47" s="98"/>
      <c r="T47" s="131" t="str">
        <f t="shared" si="53"/>
        <v/>
      </c>
      <c r="U47" s="132"/>
      <c r="V47" s="132"/>
      <c r="W47" s="133"/>
      <c r="X47" s="132"/>
      <c r="Y47" s="132"/>
      <c r="Z47" s="132"/>
      <c r="AA47" s="134" t="str">
        <f>IFERROR(IF(T47="Probabilidad",(AA46-(+AA46*W47)),IF(T47="Impacto",L47,"")),"")</f>
        <v/>
      </c>
      <c r="AB47" s="135" t="str">
        <f t="shared" si="56"/>
        <v/>
      </c>
      <c r="AC47" s="136" t="str">
        <f t="shared" si="57"/>
        <v/>
      </c>
      <c r="AD47" s="135" t="str">
        <f t="shared" si="58"/>
        <v/>
      </c>
      <c r="AE47" s="136" t="str">
        <f t="shared" si="59"/>
        <v/>
      </c>
      <c r="AF47" s="137" t="str">
        <f t="shared" si="60"/>
        <v/>
      </c>
      <c r="AG47" s="138"/>
      <c r="AH47" s="119"/>
      <c r="AI47" s="127"/>
      <c r="AJ47" s="143"/>
      <c r="AK47" s="143"/>
      <c r="AL47" s="119"/>
      <c r="AM47" s="140"/>
    </row>
    <row r="48" spans="1:39" s="164" customFormat="1" ht="151.5" customHeight="1" x14ac:dyDescent="0.35">
      <c r="A48" s="394"/>
      <c r="B48" s="371"/>
      <c r="C48" s="393"/>
      <c r="D48" s="391"/>
      <c r="E48" s="378"/>
      <c r="F48" s="378"/>
      <c r="G48" s="378"/>
      <c r="H48" s="380"/>
      <c r="I48" s="378"/>
      <c r="J48" s="376"/>
      <c r="K48" s="374"/>
      <c r="L48" s="387"/>
      <c r="M48" s="389"/>
      <c r="N48" s="142"/>
      <c r="O48" s="374"/>
      <c r="P48" s="387"/>
      <c r="Q48" s="384"/>
      <c r="R48" s="130">
        <v>3</v>
      </c>
      <c r="S48" s="98"/>
      <c r="T48" s="131" t="str">
        <f t="shared" si="53"/>
        <v/>
      </c>
      <c r="U48" s="132"/>
      <c r="V48" s="132"/>
      <c r="W48" s="133"/>
      <c r="X48" s="132"/>
      <c r="Y48" s="132"/>
      <c r="Z48" s="132"/>
      <c r="AA48" s="134" t="str">
        <f>IFERROR(IF(T48="Probabilidad",(AA47-(+AA47*W48)),IF(T48="Impacto",L48,"")),"")</f>
        <v/>
      </c>
      <c r="AB48" s="135" t="str">
        <f t="shared" si="56"/>
        <v/>
      </c>
      <c r="AC48" s="136" t="str">
        <f t="shared" si="57"/>
        <v/>
      </c>
      <c r="AD48" s="135" t="str">
        <f t="shared" si="58"/>
        <v/>
      </c>
      <c r="AE48" s="136" t="str">
        <f t="shared" si="59"/>
        <v/>
      </c>
      <c r="AF48" s="137" t="str">
        <f t="shared" si="60"/>
        <v/>
      </c>
      <c r="AG48" s="138"/>
      <c r="AH48" s="119"/>
      <c r="AI48" s="127"/>
      <c r="AJ48" s="143"/>
      <c r="AK48" s="143"/>
      <c r="AL48" s="119"/>
      <c r="AM48" s="140"/>
    </row>
    <row r="49" spans="1:39" s="164" customFormat="1" ht="151.5" customHeight="1" x14ac:dyDescent="0.35">
      <c r="A49" s="394">
        <v>15</v>
      </c>
      <c r="B49" s="359" t="s">
        <v>242</v>
      </c>
      <c r="C49" s="390" t="s">
        <v>385</v>
      </c>
      <c r="D49" s="390" t="s">
        <v>249</v>
      </c>
      <c r="E49" s="377" t="s">
        <v>118</v>
      </c>
      <c r="F49" s="377" t="s">
        <v>256</v>
      </c>
      <c r="G49" s="377" t="s">
        <v>257</v>
      </c>
      <c r="H49" s="379" t="s">
        <v>550</v>
      </c>
      <c r="I49" s="377" t="s">
        <v>115</v>
      </c>
      <c r="J49" s="398">
        <v>40</v>
      </c>
      <c r="K49" s="372" t="str">
        <f>IF(J49&lt;=0,"",IF(J49&lt;=2,"Muy Baja",IF(J49&lt;=24,"Baja",IF(J49&lt;=500,"Media",IF(J49&lt;=5000,"Alta","Muy Alta")))))</f>
        <v>Media</v>
      </c>
      <c r="L49" s="385">
        <f>IF(K49="","",IF(K49="Muy Baja",0.2,IF(K49="Baja",0.4,IF(K49="Media",0.6,IF(K49="Alta",0.8,IF(K49="Muy Alta",1,))))))</f>
        <v>0.6</v>
      </c>
      <c r="M49" s="388" t="s">
        <v>486</v>
      </c>
      <c r="N49" s="129" t="str">
        <f>IF(NOT(ISERROR(MATCH(M49,'Tabla Impacto'!$B$221:$B$223,0))),'Tabla Impacto'!$F$223&amp;"Por favor no seleccionar los criterios de impacto(Afectación Económica o presupuestal y Pérdida Reputacional)",M49)</f>
        <v xml:space="preserve"> El riesgo afecta la imagen de la entidad con algunos usuarios de relevancia frente al logro de los objetivos</v>
      </c>
      <c r="O49" s="372" t="str">
        <f>IF(OR(N49='Tabla Impacto'!$C$11,N49='Tabla Impacto'!$D$11),"Leve",IF(OR(N49='Tabla Impacto'!$C$12,N49='Tabla Impacto'!$D$12),"Menor",IF(OR(N49='Tabla Impacto'!$C$13,N49='Tabla Impacto'!$D$13),"Moderado",IF(OR(N49='Tabla Impacto'!$C$14,N49='Tabla Impacto'!$D$14),"Mayor",IF(OR(N49='Tabla Impacto'!$C$15,N49='Tabla Impacto'!$D$15),"Catastrófico","")))))</f>
        <v>Moderado</v>
      </c>
      <c r="P49" s="385">
        <f>IF(O49="","",IF(O49="Leve",0.2,IF(O49="Menor",0.4,IF(O49="Moderado",0.6,IF(O49="Mayor",0.8,IF(O49="Catastrófico",1,))))))</f>
        <v>0.6</v>
      </c>
      <c r="Q49" s="382" t="str">
        <f>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Moderado</v>
      </c>
      <c r="R49" s="130">
        <v>1</v>
      </c>
      <c r="S49" s="98" t="s">
        <v>551</v>
      </c>
      <c r="T49" s="131" t="str">
        <f t="shared" si="25"/>
        <v>Probabilidad</v>
      </c>
      <c r="U49" s="132" t="s">
        <v>14</v>
      </c>
      <c r="V49" s="132" t="s">
        <v>9</v>
      </c>
      <c r="W49" s="133" t="str">
        <f t="shared" si="26"/>
        <v>40%</v>
      </c>
      <c r="X49" s="132" t="s">
        <v>19</v>
      </c>
      <c r="Y49" s="132" t="s">
        <v>22</v>
      </c>
      <c r="Z49" s="132" t="s">
        <v>110</v>
      </c>
      <c r="AA49" s="134">
        <f t="shared" si="27"/>
        <v>0.36</v>
      </c>
      <c r="AB49" s="135" t="str">
        <f t="shared" si="28"/>
        <v>Baja</v>
      </c>
      <c r="AC49" s="136">
        <f t="shared" si="29"/>
        <v>0.36</v>
      </c>
      <c r="AD49" s="135" t="str">
        <f t="shared" si="30"/>
        <v>Moderado</v>
      </c>
      <c r="AE49" s="136">
        <f t="shared" si="31"/>
        <v>0.6</v>
      </c>
      <c r="AF49" s="137" t="str">
        <f t="shared" si="32"/>
        <v>Moderado</v>
      </c>
      <c r="AG49" s="138" t="s">
        <v>122</v>
      </c>
      <c r="AH49" s="126" t="s">
        <v>259</v>
      </c>
      <c r="AI49" s="127" t="s">
        <v>260</v>
      </c>
      <c r="AJ49" s="143">
        <v>44562</v>
      </c>
      <c r="AK49" s="143">
        <v>44926</v>
      </c>
      <c r="AL49" s="119" t="s">
        <v>255</v>
      </c>
      <c r="AM49" s="140"/>
    </row>
    <row r="50" spans="1:39" s="164" customFormat="1" ht="151.5" customHeight="1" x14ac:dyDescent="0.35">
      <c r="A50" s="394"/>
      <c r="B50" s="360"/>
      <c r="C50" s="393"/>
      <c r="D50" s="391"/>
      <c r="E50" s="378"/>
      <c r="F50" s="378"/>
      <c r="G50" s="378"/>
      <c r="H50" s="380"/>
      <c r="I50" s="378"/>
      <c r="J50" s="399"/>
      <c r="K50" s="373"/>
      <c r="L50" s="386"/>
      <c r="M50" s="389"/>
      <c r="N50" s="142"/>
      <c r="O50" s="373"/>
      <c r="P50" s="386"/>
      <c r="Q50" s="383"/>
      <c r="R50" s="130">
        <v>2</v>
      </c>
      <c r="S50" s="98"/>
      <c r="T50" s="131" t="str">
        <f t="shared" ref="T50:T51" si="61">IF(OR(U50="Preventivo",U50="Detectivo"),"Probabilidad",IF(U50="Correctivo","Impacto",""))</f>
        <v/>
      </c>
      <c r="U50" s="132"/>
      <c r="V50" s="132"/>
      <c r="W50" s="133"/>
      <c r="X50" s="132"/>
      <c r="Y50" s="132"/>
      <c r="Z50" s="132"/>
      <c r="AA50" s="134" t="str">
        <f>IFERROR(IF(T50="Probabilidad",(AA49-(+AA49*W50)),IF(T50="Impacto",L50,"")),"")</f>
        <v/>
      </c>
      <c r="AB50" s="135" t="str">
        <f t="shared" ref="AB50:AB51" si="62">IFERROR(IF(AA50="","",IF(AA50&lt;=0.2,"Muy Baja",IF(AA50&lt;=0.4,"Baja",IF(AA50&lt;=0.6,"Media",IF(AA50&lt;=0.8,"Alta","Muy Alta"))))),"")</f>
        <v/>
      </c>
      <c r="AC50" s="136" t="str">
        <f t="shared" ref="AC50:AC51" si="63">+AA50</f>
        <v/>
      </c>
      <c r="AD50" s="135" t="str">
        <f t="shared" ref="AD50:AD51" si="64">IFERROR(IF(AE50="","",IF(AE50&lt;=0.2,"Leve",IF(AE50&lt;=0.4,"Menor",IF(AE50&lt;=0.6,"Moderado",IF(AE50&lt;=0.8,"Mayor","Catastrófico"))))),"")</f>
        <v/>
      </c>
      <c r="AE50" s="136" t="str">
        <f t="shared" ref="AE50:AE51" si="65">IFERROR(IF(T50="Impacto",(P50-(+P50*W50)),IF(T50="Probabilidad",P50,"")),"")</f>
        <v/>
      </c>
      <c r="AF50" s="137" t="str">
        <f t="shared" ref="AF50:AF51" si="66">IFERROR(IF(OR(AND(AB50="Muy Baja",AD50="Leve"),AND(AB50="Muy Baja",AD50="Menor"),AND(AB50="Baja",AD50="Leve")),"Bajo",IF(OR(AND(AB50="Muy baja",AD50="Moderado"),AND(AB50="Baja",AD50="Menor"),AND(AB50="Baja",AD50="Moderado"),AND(AB50="Media",AD50="Leve"),AND(AB50="Media",AD50="Menor"),AND(AB50="Media",AD50="Moderado"),AND(AB50="Alta",AD50="Leve"),AND(AB50="Alta",AD50="Menor")),"Moderado",IF(OR(AND(AB50="Muy Baja",AD50="Mayor"),AND(AB50="Baja",AD50="Mayor"),AND(AB50="Media",AD50="Mayor"),AND(AB50="Alta",AD50="Moderado"),AND(AB50="Alta",AD50="Mayor"),AND(AB50="Muy Alta",AD50="Leve"),AND(AB50="Muy Alta",AD50="Menor"),AND(AB50="Muy Alta",AD50="Moderado"),AND(AB50="Muy Alta",AD50="Mayor")),"Alto",IF(OR(AND(AB50="Muy Baja",AD50="Catastrófico"),AND(AB50="Baja",AD50="Catastrófico"),AND(AB50="Media",AD50="Catastrófico"),AND(AB50="Alta",AD50="Catastrófico"),AND(AB50="Muy Alta",AD50="Catastrófico")),"Extremo","")))),"")</f>
        <v/>
      </c>
      <c r="AG50" s="138"/>
      <c r="AH50" s="119"/>
      <c r="AI50" s="127"/>
      <c r="AJ50" s="143"/>
      <c r="AK50" s="143"/>
      <c r="AL50" s="119"/>
      <c r="AM50" s="140"/>
    </row>
    <row r="51" spans="1:39" s="164" customFormat="1" ht="151.5" customHeight="1" x14ac:dyDescent="0.35">
      <c r="A51" s="394"/>
      <c r="B51" s="361"/>
      <c r="C51" s="393"/>
      <c r="D51" s="391"/>
      <c r="E51" s="378"/>
      <c r="F51" s="378"/>
      <c r="G51" s="378"/>
      <c r="H51" s="380"/>
      <c r="I51" s="378"/>
      <c r="J51" s="399"/>
      <c r="K51" s="374"/>
      <c r="L51" s="387"/>
      <c r="M51" s="389"/>
      <c r="N51" s="142"/>
      <c r="O51" s="374"/>
      <c r="P51" s="387"/>
      <c r="Q51" s="384"/>
      <c r="R51" s="130">
        <v>3</v>
      </c>
      <c r="S51" s="98"/>
      <c r="T51" s="131" t="str">
        <f t="shared" si="61"/>
        <v/>
      </c>
      <c r="U51" s="132"/>
      <c r="V51" s="132"/>
      <c r="W51" s="133"/>
      <c r="X51" s="132"/>
      <c r="Y51" s="132"/>
      <c r="Z51" s="132"/>
      <c r="AA51" s="134" t="str">
        <f>IFERROR(IF(T51="Probabilidad",(AA50-(+AA50*W51)),IF(T51="Impacto",L51,"")),"")</f>
        <v/>
      </c>
      <c r="AB51" s="135" t="str">
        <f t="shared" si="62"/>
        <v/>
      </c>
      <c r="AC51" s="136" t="str">
        <f t="shared" si="63"/>
        <v/>
      </c>
      <c r="AD51" s="135" t="str">
        <f t="shared" si="64"/>
        <v/>
      </c>
      <c r="AE51" s="136" t="str">
        <f t="shared" si="65"/>
        <v/>
      </c>
      <c r="AF51" s="137" t="str">
        <f t="shared" si="66"/>
        <v/>
      </c>
      <c r="AG51" s="138"/>
      <c r="AH51" s="119"/>
      <c r="AI51" s="127"/>
      <c r="AJ51" s="143"/>
      <c r="AK51" s="143"/>
      <c r="AL51" s="119"/>
      <c r="AM51" s="140"/>
    </row>
    <row r="52" spans="1:39" s="164" customFormat="1" ht="151.5" customHeight="1" x14ac:dyDescent="0.35">
      <c r="A52" s="394">
        <v>16</v>
      </c>
      <c r="B52" s="369" t="s">
        <v>242</v>
      </c>
      <c r="C52" s="390" t="s">
        <v>385</v>
      </c>
      <c r="D52" s="390" t="s">
        <v>249</v>
      </c>
      <c r="E52" s="377" t="s">
        <v>120</v>
      </c>
      <c r="F52" s="377" t="s">
        <v>443</v>
      </c>
      <c r="G52" s="377" t="s">
        <v>262</v>
      </c>
      <c r="H52" s="379" t="s">
        <v>261</v>
      </c>
      <c r="I52" s="377" t="s">
        <v>328</v>
      </c>
      <c r="J52" s="375" t="s">
        <v>258</v>
      </c>
      <c r="K52" s="372" t="str">
        <f>IF(J52&lt;=0,"",IF(J52&lt;=2,"Muy Baja",IF(J52&lt;=24,"Baja",IF(J52&lt;=500,"Media",IF(J52&lt;=5000,"Alta","Muy Alta")))))</f>
        <v>Muy Alta</v>
      </c>
      <c r="L52" s="385">
        <f>IF(K52="","",IF(K52="Muy Baja",0.2,IF(K52="Baja",0.4,IF(K52="Media",0.6,IF(K52="Alta",0.8,IF(K52="Muy Alta",1,))))))</f>
        <v>1</v>
      </c>
      <c r="M52" s="388" t="s">
        <v>493</v>
      </c>
      <c r="N52" s="129" t="str">
        <f>IF(NOT(ISERROR(MATCH(M52,'Tabla Impacto'!$B$221:$B$223,0))),'Tabla Impacto'!$F$223&amp;"Por favor no seleccionar los criterios de impacto(Afectación Económica o presupuestal y Pérdida Reputacional)",M52)</f>
        <v xml:space="preserve"> El riesgo afecta la imagen de la entidad con efecto publicitario sostenido a nivel de sector administrativo, nivel departamental o municipal</v>
      </c>
      <c r="O52" s="372" t="str">
        <f>IF(OR(N52='Tabla Impacto'!$C$11,N52='Tabla Impacto'!$D$11),"Leve",IF(OR(N52='Tabla Impacto'!$C$12,N52='Tabla Impacto'!$D$12),"Menor",IF(OR(N52='Tabla Impacto'!$C$13,N52='Tabla Impacto'!$D$13),"Moderado",IF(OR(N52='Tabla Impacto'!$C$14,N52='Tabla Impacto'!$D$14),"Mayor",IF(OR(N52='Tabla Impacto'!$C$15,N52='Tabla Impacto'!$D$15),"Catastrófico","")))))</f>
        <v>Mayor</v>
      </c>
      <c r="P52" s="385">
        <f>IF(O52="","",IF(O52="Leve",0.2,IF(O52="Menor",0.4,IF(O52="Moderado",0.6,IF(O52="Mayor",0.8,IF(O52="Catastrófico",1,))))))</f>
        <v>0.8</v>
      </c>
      <c r="Q52" s="382" t="str">
        <f>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Alto</v>
      </c>
      <c r="R52" s="130">
        <v>1</v>
      </c>
      <c r="S52" s="98" t="s">
        <v>263</v>
      </c>
      <c r="T52" s="131" t="str">
        <f t="shared" ref="T52:T54" si="67">IF(OR(U52="Preventivo",U52="Detectivo"),"Probabilidad",IF(U52="Correctivo","Impacto",""))</f>
        <v>Probabilidad</v>
      </c>
      <c r="U52" s="132" t="s">
        <v>14</v>
      </c>
      <c r="V52" s="132" t="s">
        <v>9</v>
      </c>
      <c r="W52" s="133" t="str">
        <f t="shared" ref="W52" si="68">IF(AND(U52="Preventivo",V52="Automático"),"50%",IF(AND(U52="Preventivo",V52="Manual"),"40%",IF(AND(U52="Detectivo",V52="Automático"),"40%",IF(AND(U52="Detectivo",V52="Manual"),"30%",IF(AND(U52="Correctivo",V52="Automático"),"35%",IF(AND(U52="Correctivo",V52="Manual"),"25%",""))))))</f>
        <v>40%</v>
      </c>
      <c r="X52" s="132" t="s">
        <v>19</v>
      </c>
      <c r="Y52" s="132" t="s">
        <v>22</v>
      </c>
      <c r="Z52" s="132" t="s">
        <v>110</v>
      </c>
      <c r="AA52" s="134">
        <f t="shared" ref="AA52" si="69">IFERROR(IF(T52="Probabilidad",(L52-(+L52*W52)),IF(T52="Impacto",L52,"")),"")</f>
        <v>0.6</v>
      </c>
      <c r="AB52" s="135" t="str">
        <f t="shared" ref="AB52:AB54" si="70">IFERROR(IF(AA52="","",IF(AA52&lt;=0.2,"Muy Baja",IF(AA52&lt;=0.4,"Baja",IF(AA52&lt;=0.6,"Media",IF(AA52&lt;=0.8,"Alta","Muy Alta"))))),"")</f>
        <v>Media</v>
      </c>
      <c r="AC52" s="136">
        <f t="shared" ref="AC52:AC54" si="71">+AA52</f>
        <v>0.6</v>
      </c>
      <c r="AD52" s="135" t="str">
        <f t="shared" ref="AD52:AD54" si="72">IFERROR(IF(AE52="","",IF(AE52&lt;=0.2,"Leve",IF(AE52&lt;=0.4,"Menor",IF(AE52&lt;=0.6,"Moderado",IF(AE52&lt;=0.8,"Mayor","Catastrófico"))))),"")</f>
        <v>Mayor</v>
      </c>
      <c r="AE52" s="136">
        <f t="shared" ref="AE52:AE54" si="73">IFERROR(IF(T52="Impacto",(P52-(+P52*W52)),IF(T52="Probabilidad",P52,"")),"")</f>
        <v>0.8</v>
      </c>
      <c r="AF52" s="137" t="str">
        <f t="shared" ref="AF52:AF54" si="74">IFERROR(IF(OR(AND(AB52="Muy Baja",AD52="Leve"),AND(AB52="Muy Baja",AD52="Menor"),AND(AB52="Baja",AD52="Leve")),"Bajo",IF(OR(AND(AB52="Muy baja",AD52="Moderado"),AND(AB52="Baja",AD52="Menor"),AND(AB52="Baja",AD52="Moderado"),AND(AB52="Media",AD52="Leve"),AND(AB52="Media",AD52="Menor"),AND(AB52="Media",AD52="Moderado"),AND(AB52="Alta",AD52="Leve"),AND(AB52="Alta",AD52="Menor")),"Moderado",IF(OR(AND(AB52="Muy Baja",AD52="Mayor"),AND(AB52="Baja",AD52="Mayor"),AND(AB52="Media",AD52="Mayor"),AND(AB52="Alta",AD52="Moderado"),AND(AB52="Alta",AD52="Mayor"),AND(AB52="Muy Alta",AD52="Leve"),AND(AB52="Muy Alta",AD52="Menor"),AND(AB52="Muy Alta",AD52="Moderado"),AND(AB52="Muy Alta",AD52="Mayor")),"Alto",IF(OR(AND(AB52="Muy Baja",AD52="Catastrófico"),AND(AB52="Baja",AD52="Catastrófico"),AND(AB52="Media",AD52="Catastrófico"),AND(AB52="Alta",AD52="Catastrófico"),AND(AB52="Muy Alta",AD52="Catastrófico")),"Extremo","")))),"")</f>
        <v>Alto</v>
      </c>
      <c r="AG52" s="138" t="s">
        <v>122</v>
      </c>
      <c r="AH52" s="119" t="s">
        <v>522</v>
      </c>
      <c r="AI52" s="127" t="s">
        <v>203</v>
      </c>
      <c r="AJ52" s="143">
        <v>44562</v>
      </c>
      <c r="AK52" s="143">
        <v>44926</v>
      </c>
      <c r="AL52" s="126" t="s">
        <v>264</v>
      </c>
      <c r="AM52" s="140"/>
    </row>
    <row r="53" spans="1:39" s="164" customFormat="1" ht="151.5" customHeight="1" x14ac:dyDescent="0.35">
      <c r="A53" s="394"/>
      <c r="B53" s="370"/>
      <c r="C53" s="393"/>
      <c r="D53" s="391"/>
      <c r="E53" s="378"/>
      <c r="F53" s="378"/>
      <c r="G53" s="378"/>
      <c r="H53" s="380"/>
      <c r="I53" s="378"/>
      <c r="J53" s="376"/>
      <c r="K53" s="373"/>
      <c r="L53" s="386"/>
      <c r="M53" s="389"/>
      <c r="N53" s="142"/>
      <c r="O53" s="373"/>
      <c r="P53" s="386"/>
      <c r="Q53" s="383"/>
      <c r="R53" s="130">
        <v>2</v>
      </c>
      <c r="S53" s="98"/>
      <c r="T53" s="131" t="str">
        <f t="shared" si="67"/>
        <v/>
      </c>
      <c r="U53" s="132"/>
      <c r="V53" s="132"/>
      <c r="W53" s="133"/>
      <c r="X53" s="132"/>
      <c r="Y53" s="132"/>
      <c r="Z53" s="132"/>
      <c r="AA53" s="134" t="str">
        <f>IFERROR(IF(T53="Probabilidad",(AA52-(+AA52*W53)),IF(T53="Impacto",L53,"")),"")</f>
        <v/>
      </c>
      <c r="AB53" s="135" t="str">
        <f t="shared" si="70"/>
        <v/>
      </c>
      <c r="AC53" s="136" t="str">
        <f t="shared" si="71"/>
        <v/>
      </c>
      <c r="AD53" s="135" t="str">
        <f t="shared" si="72"/>
        <v/>
      </c>
      <c r="AE53" s="136" t="str">
        <f t="shared" si="73"/>
        <v/>
      </c>
      <c r="AF53" s="137" t="str">
        <f t="shared" si="74"/>
        <v/>
      </c>
      <c r="AG53" s="138"/>
      <c r="AH53" s="119"/>
      <c r="AI53" s="127"/>
      <c r="AJ53" s="143"/>
      <c r="AK53" s="143"/>
      <c r="AL53" s="119"/>
      <c r="AM53" s="140"/>
    </row>
    <row r="54" spans="1:39" s="164" customFormat="1" ht="151.5" customHeight="1" x14ac:dyDescent="0.35">
      <c r="A54" s="396"/>
      <c r="B54" s="371"/>
      <c r="C54" s="393"/>
      <c r="D54" s="391"/>
      <c r="E54" s="378"/>
      <c r="F54" s="378"/>
      <c r="G54" s="378"/>
      <c r="H54" s="380"/>
      <c r="I54" s="378"/>
      <c r="J54" s="376"/>
      <c r="K54" s="374"/>
      <c r="L54" s="387"/>
      <c r="M54" s="389"/>
      <c r="N54" s="142"/>
      <c r="O54" s="374"/>
      <c r="P54" s="387"/>
      <c r="Q54" s="384"/>
      <c r="R54" s="130">
        <v>3</v>
      </c>
      <c r="S54" s="98"/>
      <c r="T54" s="131" t="str">
        <f t="shared" si="67"/>
        <v/>
      </c>
      <c r="U54" s="132"/>
      <c r="V54" s="132"/>
      <c r="W54" s="133"/>
      <c r="X54" s="132"/>
      <c r="Y54" s="132"/>
      <c r="Z54" s="132"/>
      <c r="AA54" s="134" t="str">
        <f>IFERROR(IF(T54="Probabilidad",(AA53-(+AA53*W54)),IF(T54="Impacto",L54,"")),"")</f>
        <v/>
      </c>
      <c r="AB54" s="135" t="str">
        <f t="shared" si="70"/>
        <v/>
      </c>
      <c r="AC54" s="136" t="str">
        <f t="shared" si="71"/>
        <v/>
      </c>
      <c r="AD54" s="135" t="str">
        <f t="shared" si="72"/>
        <v/>
      </c>
      <c r="AE54" s="136" t="str">
        <f t="shared" si="73"/>
        <v/>
      </c>
      <c r="AF54" s="137" t="str">
        <f t="shared" si="74"/>
        <v/>
      </c>
      <c r="AG54" s="138"/>
      <c r="AH54" s="119"/>
      <c r="AI54" s="127"/>
      <c r="AJ54" s="143"/>
      <c r="AK54" s="143"/>
      <c r="AL54" s="119"/>
      <c r="AM54" s="140"/>
    </row>
    <row r="55" spans="1:39" s="164" customFormat="1" ht="151.5" customHeight="1" x14ac:dyDescent="0.35">
      <c r="A55" s="395">
        <v>17</v>
      </c>
      <c r="B55" s="369" t="s">
        <v>242</v>
      </c>
      <c r="C55" s="390" t="s">
        <v>385</v>
      </c>
      <c r="D55" s="390" t="s">
        <v>249</v>
      </c>
      <c r="E55" s="377" t="s">
        <v>120</v>
      </c>
      <c r="F55" s="377" t="s">
        <v>444</v>
      </c>
      <c r="G55" s="377" t="s">
        <v>266</v>
      </c>
      <c r="H55" s="379" t="s">
        <v>265</v>
      </c>
      <c r="I55" s="377" t="s">
        <v>328</v>
      </c>
      <c r="J55" s="375">
        <v>60</v>
      </c>
      <c r="K55" s="372" t="str">
        <f>IF(J55&lt;=0,"",IF(J55&lt;=2,"Muy Baja",IF(J55&lt;=24,"Baja",IF(J55&lt;=500,"Media",IF(J55&lt;=5000,"Alta","Muy Alta")))))</f>
        <v>Media</v>
      </c>
      <c r="L55" s="385">
        <f>IF(K55="","",IF(K55="Muy Baja",0.2,IF(K55="Baja",0.4,IF(K55="Media",0.6,IF(K55="Alta",0.8,IF(K55="Muy Alta",1,))))))</f>
        <v>0.6</v>
      </c>
      <c r="M55" s="388" t="s">
        <v>486</v>
      </c>
      <c r="N55" s="129" t="str">
        <f>IF(NOT(ISERROR(MATCH(M55,'Tabla Impacto'!$B$221:$B$223,0))),'Tabla Impacto'!$F$223&amp;"Por favor no seleccionar los criterios de impacto(Afectación Económica o presupuestal y Pérdida Reputacional)",M55)</f>
        <v xml:space="preserve"> El riesgo afecta la imagen de la entidad con algunos usuarios de relevancia frente al logro de los objetivos</v>
      </c>
      <c r="O55" s="372" t="str">
        <f>IF(OR(N55='Tabla Impacto'!$C$11,N55='Tabla Impacto'!$D$11),"Leve",IF(OR(N55='Tabla Impacto'!$C$12,N55='Tabla Impacto'!$D$12),"Menor",IF(OR(N55='Tabla Impacto'!$C$13,N55='Tabla Impacto'!$D$13),"Moderado",IF(OR(N55='Tabla Impacto'!$C$14,N55='Tabla Impacto'!$D$14),"Mayor",IF(OR(N55='Tabla Impacto'!$C$15,N55='Tabla Impacto'!$D$15),"Catastrófico","")))))</f>
        <v>Moderado</v>
      </c>
      <c r="P55" s="385">
        <f>IF(O55="","",IF(O55="Leve",0.2,IF(O55="Menor",0.4,IF(O55="Moderado",0.6,IF(O55="Mayor",0.8,IF(O55="Catastrófico",1,))))))</f>
        <v>0.6</v>
      </c>
      <c r="Q55" s="382" t="str">
        <f>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Moderado</v>
      </c>
      <c r="R55" s="130">
        <v>1</v>
      </c>
      <c r="S55" s="98" t="s">
        <v>267</v>
      </c>
      <c r="T55" s="131" t="str">
        <f t="shared" si="25"/>
        <v>Probabilidad</v>
      </c>
      <c r="U55" s="132" t="s">
        <v>15</v>
      </c>
      <c r="V55" s="132" t="s">
        <v>9</v>
      </c>
      <c r="W55" s="133" t="str">
        <f t="shared" si="26"/>
        <v>30%</v>
      </c>
      <c r="X55" s="132" t="s">
        <v>19</v>
      </c>
      <c r="Y55" s="132" t="s">
        <v>22</v>
      </c>
      <c r="Z55" s="132" t="s">
        <v>110</v>
      </c>
      <c r="AA55" s="134">
        <f t="shared" si="27"/>
        <v>0.42</v>
      </c>
      <c r="AB55" s="135" t="str">
        <f t="shared" si="28"/>
        <v>Media</v>
      </c>
      <c r="AC55" s="136">
        <f t="shared" si="29"/>
        <v>0.42</v>
      </c>
      <c r="AD55" s="135" t="str">
        <f t="shared" si="30"/>
        <v>Moderado</v>
      </c>
      <c r="AE55" s="136">
        <f t="shared" si="31"/>
        <v>0.6</v>
      </c>
      <c r="AF55" s="137" t="str">
        <f t="shared" si="32"/>
        <v>Moderado</v>
      </c>
      <c r="AG55" s="138" t="s">
        <v>122</v>
      </c>
      <c r="AH55" s="119" t="s">
        <v>269</v>
      </c>
      <c r="AI55" s="144" t="s">
        <v>270</v>
      </c>
      <c r="AJ55" s="143">
        <v>44562</v>
      </c>
      <c r="AK55" s="143">
        <v>44926</v>
      </c>
      <c r="AL55" s="119" t="s">
        <v>271</v>
      </c>
      <c r="AM55" s="140"/>
    </row>
    <row r="56" spans="1:39" s="164" customFormat="1" ht="151.5" customHeight="1" x14ac:dyDescent="0.35">
      <c r="A56" s="394"/>
      <c r="B56" s="370"/>
      <c r="C56" s="393"/>
      <c r="D56" s="391"/>
      <c r="E56" s="378"/>
      <c r="F56" s="378"/>
      <c r="G56" s="378"/>
      <c r="H56" s="380"/>
      <c r="I56" s="378"/>
      <c r="J56" s="376"/>
      <c r="K56" s="373"/>
      <c r="L56" s="386"/>
      <c r="M56" s="389"/>
      <c r="N56" s="142"/>
      <c r="O56" s="373"/>
      <c r="P56" s="386"/>
      <c r="Q56" s="383"/>
      <c r="R56" s="130">
        <v>2</v>
      </c>
      <c r="S56" s="98" t="s">
        <v>268</v>
      </c>
      <c r="T56" s="131" t="str">
        <f t="shared" ref="T56:T57" si="75">IF(OR(U56="Preventivo",U56="Detectivo"),"Probabilidad",IF(U56="Correctivo","Impacto",""))</f>
        <v>Probabilidad</v>
      </c>
      <c r="U56" s="132" t="s">
        <v>15</v>
      </c>
      <c r="V56" s="132" t="s">
        <v>9</v>
      </c>
      <c r="W56" s="133" t="str">
        <f t="shared" ref="W56" si="76">IF(AND(U56="Preventivo",V56="Automático"),"50%",IF(AND(U56="Preventivo",V56="Manual"),"40%",IF(AND(U56="Detectivo",V56="Automático"),"40%",IF(AND(U56="Detectivo",V56="Manual"),"30%",IF(AND(U56="Correctivo",V56="Automático"),"35%",IF(AND(U56="Correctivo",V56="Manual"),"25%",""))))))</f>
        <v>30%</v>
      </c>
      <c r="X56" s="132" t="s">
        <v>19</v>
      </c>
      <c r="Y56" s="132" t="s">
        <v>22</v>
      </c>
      <c r="Z56" s="132" t="s">
        <v>110</v>
      </c>
      <c r="AA56" s="134">
        <f>IFERROR(IF(T56="Probabilidad",(AA55-(+AA55*W56)),IF(T56="Impacto",L56,"")),"")</f>
        <v>0.29399999999999998</v>
      </c>
      <c r="AB56" s="135" t="str">
        <f t="shared" ref="AB56:AB57" si="77">IFERROR(IF(AA56="","",IF(AA56&lt;=0.2,"Muy Baja",IF(AA56&lt;=0.4,"Baja",IF(AA56&lt;=0.6,"Media",IF(AA56&lt;=0.8,"Alta","Muy Alta"))))),"")</f>
        <v>Baja</v>
      </c>
      <c r="AC56" s="136">
        <f t="shared" ref="AC56:AC57" si="78">+AA56</f>
        <v>0.29399999999999998</v>
      </c>
      <c r="AD56" s="135" t="str">
        <f t="shared" ref="AD56:AD57" si="79">IFERROR(IF(AE56="","",IF(AE56&lt;=0.2,"Leve",IF(AE56&lt;=0.4,"Menor",IF(AE56&lt;=0.6,"Moderado",IF(AE56&lt;=0.8,"Mayor","Catastrófico"))))),"")</f>
        <v>Moderado</v>
      </c>
      <c r="AE56" s="136">
        <v>0.6</v>
      </c>
      <c r="AF56" s="137" t="str">
        <f t="shared" ref="AF56:AF57" si="80">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Moderado</v>
      </c>
      <c r="AG56" s="138" t="s">
        <v>122</v>
      </c>
      <c r="AH56" s="119" t="s">
        <v>269</v>
      </c>
      <c r="AI56" s="144" t="s">
        <v>270</v>
      </c>
      <c r="AJ56" s="143">
        <v>44562</v>
      </c>
      <c r="AK56" s="143">
        <v>44926</v>
      </c>
      <c r="AL56" s="119" t="s">
        <v>271</v>
      </c>
      <c r="AM56" s="140"/>
    </row>
    <row r="57" spans="1:39" s="164" customFormat="1" ht="151.5" customHeight="1" x14ac:dyDescent="0.35">
      <c r="A57" s="394"/>
      <c r="B57" s="371"/>
      <c r="C57" s="393"/>
      <c r="D57" s="391"/>
      <c r="E57" s="378"/>
      <c r="F57" s="378"/>
      <c r="G57" s="378"/>
      <c r="H57" s="380"/>
      <c r="I57" s="378"/>
      <c r="J57" s="376"/>
      <c r="K57" s="374"/>
      <c r="L57" s="387"/>
      <c r="M57" s="389"/>
      <c r="N57" s="142"/>
      <c r="O57" s="374"/>
      <c r="P57" s="387"/>
      <c r="Q57" s="384"/>
      <c r="R57" s="130">
        <v>3</v>
      </c>
      <c r="S57" s="98"/>
      <c r="T57" s="131" t="str">
        <f t="shared" si="75"/>
        <v/>
      </c>
      <c r="U57" s="132"/>
      <c r="V57" s="132"/>
      <c r="W57" s="133"/>
      <c r="X57" s="132"/>
      <c r="Y57" s="132"/>
      <c r="Z57" s="132"/>
      <c r="AA57" s="134" t="str">
        <f>IFERROR(IF(T57="Probabilidad",(AA56-(+AA56*W57)),IF(T57="Impacto",L57,"")),"")</f>
        <v/>
      </c>
      <c r="AB57" s="135" t="str">
        <f t="shared" si="77"/>
        <v/>
      </c>
      <c r="AC57" s="136" t="str">
        <f t="shared" si="78"/>
        <v/>
      </c>
      <c r="AD57" s="135" t="str">
        <f t="shared" si="79"/>
        <v/>
      </c>
      <c r="AE57" s="136" t="str">
        <f t="shared" ref="AE57" si="81">IFERROR(IF(T57="Impacto",(P57-(+P57*W57)),IF(T57="Probabilidad",P57,"")),"")</f>
        <v/>
      </c>
      <c r="AF57" s="137" t="str">
        <f t="shared" si="80"/>
        <v/>
      </c>
      <c r="AG57" s="138"/>
      <c r="AH57" s="119"/>
      <c r="AI57" s="127"/>
      <c r="AJ57" s="143"/>
      <c r="AK57" s="143"/>
      <c r="AL57" s="119"/>
      <c r="AM57" s="140"/>
    </row>
    <row r="58" spans="1:39" s="164" customFormat="1" ht="151.5" customHeight="1" x14ac:dyDescent="0.35">
      <c r="A58" s="394">
        <v>18</v>
      </c>
      <c r="B58" s="369" t="s">
        <v>272</v>
      </c>
      <c r="C58" s="390" t="s">
        <v>273</v>
      </c>
      <c r="D58" s="390" t="s">
        <v>387</v>
      </c>
      <c r="E58" s="377" t="s">
        <v>120</v>
      </c>
      <c r="F58" s="377" t="s">
        <v>274</v>
      </c>
      <c r="G58" s="377" t="s">
        <v>275</v>
      </c>
      <c r="H58" s="379" t="s">
        <v>445</v>
      </c>
      <c r="I58" s="377" t="s">
        <v>117</v>
      </c>
      <c r="J58" s="375">
        <v>360</v>
      </c>
      <c r="K58" s="372" t="str">
        <f>IF(J58&lt;=0,"",IF(J58&lt;=2,"Muy Baja",IF(J58&lt;=24,"Baja",IF(J58&lt;=500,"Media",IF(J58&lt;=5000,"Alta","Muy Alta")))))</f>
        <v>Media</v>
      </c>
      <c r="L58" s="385">
        <f>IF(K58="","",IF(K58="Muy Baja",0.2,IF(K58="Baja",0.4,IF(K58="Media",0.6,IF(K58="Alta",0.8,IF(K58="Muy Alta",1,))))))</f>
        <v>0.6</v>
      </c>
      <c r="M58" s="388" t="s">
        <v>486</v>
      </c>
      <c r="N58" s="129" t="str">
        <f>IF(NOT(ISERROR(MATCH(M58,'Tabla Impacto'!$B$221:$B$223,0))),'Tabla Impacto'!$F$223&amp;"Por favor no seleccionar los criterios de impacto(Afectación Económica o presupuestal y Pérdida Reputacional)",M58)</f>
        <v xml:space="preserve"> El riesgo afecta la imagen de la entidad con algunos usuarios de relevancia frente al logro de los objetivos</v>
      </c>
      <c r="O58" s="372" t="str">
        <f>IF(OR(N58='Tabla Impacto'!$C$11,N58='Tabla Impacto'!$D$11),"Leve",IF(OR(N58='Tabla Impacto'!$C$12,N58='Tabla Impacto'!$D$12),"Menor",IF(OR(N58='Tabla Impacto'!$C$13,N58='Tabla Impacto'!$D$13),"Moderado",IF(OR(N58='Tabla Impacto'!$C$14,N58='Tabla Impacto'!$D$14),"Mayor",IF(OR(N58='Tabla Impacto'!$C$15,N58='Tabla Impacto'!$D$15),"Catastrófico","")))))</f>
        <v>Moderado</v>
      </c>
      <c r="P58" s="385">
        <f>IF(O58="","",IF(O58="Leve",0.2,IF(O58="Menor",0.4,IF(O58="Moderado",0.6,IF(O58="Mayor",0.8,IF(O58="Catastrófico",1,))))))</f>
        <v>0.6</v>
      </c>
      <c r="Q58" s="382" t="str">
        <f>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Moderado</v>
      </c>
      <c r="R58" s="130">
        <v>1</v>
      </c>
      <c r="S58" s="98" t="s">
        <v>276</v>
      </c>
      <c r="T58" s="131" t="str">
        <f t="shared" si="25"/>
        <v>Probabilidad</v>
      </c>
      <c r="U58" s="132" t="s">
        <v>15</v>
      </c>
      <c r="V58" s="132" t="s">
        <v>9</v>
      </c>
      <c r="W58" s="133" t="str">
        <f t="shared" si="26"/>
        <v>30%</v>
      </c>
      <c r="X58" s="132" t="s">
        <v>20</v>
      </c>
      <c r="Y58" s="132" t="s">
        <v>22</v>
      </c>
      <c r="Z58" s="132" t="s">
        <v>110</v>
      </c>
      <c r="AA58" s="134">
        <f t="shared" si="27"/>
        <v>0.42</v>
      </c>
      <c r="AB58" s="135" t="str">
        <f t="shared" si="28"/>
        <v>Media</v>
      </c>
      <c r="AC58" s="136">
        <f t="shared" si="29"/>
        <v>0.42</v>
      </c>
      <c r="AD58" s="135" t="str">
        <f t="shared" si="30"/>
        <v>Moderado</v>
      </c>
      <c r="AE58" s="136">
        <f t="shared" si="31"/>
        <v>0.6</v>
      </c>
      <c r="AF58" s="137" t="str">
        <f t="shared" si="32"/>
        <v>Moderado</v>
      </c>
      <c r="AG58" s="138" t="s">
        <v>122</v>
      </c>
      <c r="AH58" s="119" t="s">
        <v>386</v>
      </c>
      <c r="AI58" s="127" t="s">
        <v>198</v>
      </c>
      <c r="AJ58" s="143">
        <v>44562</v>
      </c>
      <c r="AK58" s="143">
        <v>44926</v>
      </c>
      <c r="AL58" s="119" t="s">
        <v>277</v>
      </c>
      <c r="AM58" s="140"/>
    </row>
    <row r="59" spans="1:39" s="164" customFormat="1" ht="151.5" customHeight="1" x14ac:dyDescent="0.35">
      <c r="A59" s="394"/>
      <c r="B59" s="370"/>
      <c r="C59" s="391"/>
      <c r="D59" s="393"/>
      <c r="E59" s="378"/>
      <c r="F59" s="378"/>
      <c r="G59" s="378"/>
      <c r="H59" s="380"/>
      <c r="I59" s="378"/>
      <c r="J59" s="376"/>
      <c r="K59" s="373"/>
      <c r="L59" s="386"/>
      <c r="M59" s="389"/>
      <c r="N59" s="142"/>
      <c r="O59" s="373"/>
      <c r="P59" s="386"/>
      <c r="Q59" s="383"/>
      <c r="R59" s="130">
        <v>2</v>
      </c>
      <c r="S59" s="98"/>
      <c r="T59" s="131" t="str">
        <f t="shared" ref="T59:T60" si="82">IF(OR(U59="Preventivo",U59="Detectivo"),"Probabilidad",IF(U59="Correctivo","Impacto",""))</f>
        <v/>
      </c>
      <c r="U59" s="132"/>
      <c r="V59" s="132"/>
      <c r="W59" s="133"/>
      <c r="X59" s="132"/>
      <c r="Y59" s="132"/>
      <c r="Z59" s="132"/>
      <c r="AA59" s="134" t="str">
        <f>IFERROR(IF(T59="Probabilidad",(AA58-(+AA58*W59)),IF(T59="Impacto",L59,"")),"")</f>
        <v/>
      </c>
      <c r="AB59" s="135" t="str">
        <f t="shared" ref="AB59:AB60" si="83">IFERROR(IF(AA59="","",IF(AA59&lt;=0.2,"Muy Baja",IF(AA59&lt;=0.4,"Baja",IF(AA59&lt;=0.6,"Media",IF(AA59&lt;=0.8,"Alta","Muy Alta"))))),"")</f>
        <v/>
      </c>
      <c r="AC59" s="136" t="str">
        <f t="shared" ref="AC59:AC60" si="84">+AA59</f>
        <v/>
      </c>
      <c r="AD59" s="135" t="str">
        <f t="shared" ref="AD59:AD60" si="85">IFERROR(IF(AE59="","",IF(AE59&lt;=0.2,"Leve",IF(AE59&lt;=0.4,"Menor",IF(AE59&lt;=0.6,"Moderado",IF(AE59&lt;=0.8,"Mayor","Catastrófico"))))),"")</f>
        <v/>
      </c>
      <c r="AE59" s="136" t="str">
        <f t="shared" ref="AE59:AE60" si="86">IFERROR(IF(T59="Impacto",(P59-(+P59*W59)),IF(T59="Probabilidad",P59,"")),"")</f>
        <v/>
      </c>
      <c r="AF59" s="137" t="str">
        <f t="shared" ref="AF59:AF60" si="87">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
      </c>
      <c r="AG59" s="138"/>
      <c r="AH59" s="119"/>
      <c r="AI59" s="127"/>
      <c r="AJ59" s="143"/>
      <c r="AK59" s="143"/>
      <c r="AL59" s="119"/>
      <c r="AM59" s="140"/>
    </row>
    <row r="60" spans="1:39" s="164" customFormat="1" ht="151.5" customHeight="1" x14ac:dyDescent="0.35">
      <c r="A60" s="394"/>
      <c r="B60" s="371"/>
      <c r="C60" s="391"/>
      <c r="D60" s="393"/>
      <c r="E60" s="378"/>
      <c r="F60" s="378"/>
      <c r="G60" s="378"/>
      <c r="H60" s="380"/>
      <c r="I60" s="378"/>
      <c r="J60" s="376"/>
      <c r="K60" s="374"/>
      <c r="L60" s="387"/>
      <c r="M60" s="397"/>
      <c r="N60" s="142"/>
      <c r="O60" s="374"/>
      <c r="P60" s="387"/>
      <c r="Q60" s="384"/>
      <c r="R60" s="130">
        <v>3</v>
      </c>
      <c r="S60" s="98"/>
      <c r="T60" s="131" t="str">
        <f t="shared" si="82"/>
        <v/>
      </c>
      <c r="U60" s="132"/>
      <c r="V60" s="132"/>
      <c r="W60" s="133"/>
      <c r="X60" s="132"/>
      <c r="Y60" s="132"/>
      <c r="Z60" s="132"/>
      <c r="AA60" s="134" t="str">
        <f>IFERROR(IF(T60="Probabilidad",(AA59-(+AA59*W60)),IF(T60="Impacto",L60,"")),"")</f>
        <v/>
      </c>
      <c r="AB60" s="135" t="str">
        <f t="shared" si="83"/>
        <v/>
      </c>
      <c r="AC60" s="136" t="str">
        <f t="shared" si="84"/>
        <v/>
      </c>
      <c r="AD60" s="135" t="str">
        <f t="shared" si="85"/>
        <v/>
      </c>
      <c r="AE60" s="136" t="str">
        <f t="shared" si="86"/>
        <v/>
      </c>
      <c r="AF60" s="137" t="str">
        <f t="shared" si="87"/>
        <v/>
      </c>
      <c r="AG60" s="138"/>
      <c r="AH60" s="119"/>
      <c r="AI60" s="127"/>
      <c r="AJ60" s="143"/>
      <c r="AK60" s="143"/>
      <c r="AL60" s="119"/>
      <c r="AM60" s="140"/>
    </row>
    <row r="61" spans="1:39" s="164" customFormat="1" ht="151.5" customHeight="1" x14ac:dyDescent="0.35">
      <c r="A61" s="394">
        <v>19</v>
      </c>
      <c r="B61" s="369" t="s">
        <v>272</v>
      </c>
      <c r="C61" s="390" t="s">
        <v>273</v>
      </c>
      <c r="D61" s="390" t="s">
        <v>387</v>
      </c>
      <c r="E61" s="377" t="s">
        <v>120</v>
      </c>
      <c r="F61" s="381" t="s">
        <v>278</v>
      </c>
      <c r="G61" s="377" t="s">
        <v>279</v>
      </c>
      <c r="H61" s="379" t="s">
        <v>582</v>
      </c>
      <c r="I61" s="377" t="s">
        <v>115</v>
      </c>
      <c r="J61" s="375">
        <v>246</v>
      </c>
      <c r="K61" s="372" t="str">
        <f>IF(J61&lt;=0,"",IF(J61&lt;=2,"Muy Baja",IF(J61&lt;=24,"Baja",IF(J61&lt;=500,"Media",IF(J61&lt;=5000,"Alta","Muy Alta")))))</f>
        <v>Media</v>
      </c>
      <c r="L61" s="385">
        <f>IF(K61="","",IF(K61="Muy Baja",0.2,IF(K61="Baja",0.4,IF(K61="Media",0.6,IF(K61="Alta",0.8,IF(K61="Muy Alta",1,))))))</f>
        <v>0.6</v>
      </c>
      <c r="M61" s="388" t="s">
        <v>493</v>
      </c>
      <c r="N61" s="129" t="str">
        <f>IF(NOT(ISERROR(MATCH(M61,'Tabla Impacto'!$B$221:$B$223,0))),'Tabla Impacto'!$F$223&amp;"Por favor no seleccionar los criterios de impacto(Afectación Económica o presupuestal y Pérdida Reputacional)",M61)</f>
        <v xml:space="preserve"> El riesgo afecta la imagen de la entidad con efecto publicitario sostenido a nivel de sector administrativo, nivel departamental o municipal</v>
      </c>
      <c r="O61" s="372" t="str">
        <f>IF(OR(N61='Tabla Impacto'!$C$11,N61='Tabla Impacto'!$D$11),"Leve",IF(OR(N61='Tabla Impacto'!$C$12,N61='Tabla Impacto'!$D$12),"Menor",IF(OR(N61='Tabla Impacto'!$C$13,N61='Tabla Impacto'!$D$13),"Moderado",IF(OR(N61='Tabla Impacto'!$C$14,N61='Tabla Impacto'!$D$14),"Mayor",IF(OR(N61='Tabla Impacto'!$C$15,N61='Tabla Impacto'!$D$15),"Catastrófico","")))))</f>
        <v>Mayor</v>
      </c>
      <c r="P61" s="385">
        <f>IF(O61="","",IF(O61="Leve",0.2,IF(O61="Menor",0.4,IF(O61="Moderado",0.6,IF(O61="Mayor",0.8,IF(O61="Catastrófico",1,))))))</f>
        <v>0.8</v>
      </c>
      <c r="Q61" s="382" t="str">
        <f>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Alto</v>
      </c>
      <c r="R61" s="130">
        <v>1</v>
      </c>
      <c r="S61" s="98" t="s">
        <v>547</v>
      </c>
      <c r="T61" s="131" t="str">
        <f t="shared" si="25"/>
        <v>Probabilidad</v>
      </c>
      <c r="U61" s="132" t="s">
        <v>14</v>
      </c>
      <c r="V61" s="132" t="s">
        <v>9</v>
      </c>
      <c r="W61" s="133" t="str">
        <f t="shared" si="26"/>
        <v>40%</v>
      </c>
      <c r="X61" s="132" t="s">
        <v>20</v>
      </c>
      <c r="Y61" s="132" t="s">
        <v>22</v>
      </c>
      <c r="Z61" s="132" t="s">
        <v>110</v>
      </c>
      <c r="AA61" s="134">
        <f t="shared" si="27"/>
        <v>0.36</v>
      </c>
      <c r="AB61" s="135" t="str">
        <f t="shared" si="28"/>
        <v>Baja</v>
      </c>
      <c r="AC61" s="136">
        <f t="shared" si="29"/>
        <v>0.36</v>
      </c>
      <c r="AD61" s="135" t="str">
        <f t="shared" si="30"/>
        <v>Mayor</v>
      </c>
      <c r="AE61" s="136">
        <f t="shared" si="31"/>
        <v>0.8</v>
      </c>
      <c r="AF61" s="137" t="str">
        <f t="shared" si="32"/>
        <v>Alto</v>
      </c>
      <c r="AG61" s="138" t="s">
        <v>122</v>
      </c>
      <c r="AH61" s="126" t="s">
        <v>372</v>
      </c>
      <c r="AI61" s="121" t="s">
        <v>212</v>
      </c>
      <c r="AJ61" s="156">
        <v>44562</v>
      </c>
      <c r="AK61" s="157" t="s">
        <v>373</v>
      </c>
      <c r="AL61" s="119" t="s">
        <v>280</v>
      </c>
      <c r="AM61" s="140"/>
    </row>
    <row r="62" spans="1:39" s="164" customFormat="1" ht="151.5" customHeight="1" x14ac:dyDescent="0.35">
      <c r="A62" s="394"/>
      <c r="B62" s="370"/>
      <c r="C62" s="391"/>
      <c r="D62" s="393"/>
      <c r="E62" s="378"/>
      <c r="F62" s="378"/>
      <c r="G62" s="378"/>
      <c r="H62" s="380"/>
      <c r="I62" s="378"/>
      <c r="J62" s="376"/>
      <c r="K62" s="373"/>
      <c r="L62" s="386"/>
      <c r="M62" s="389"/>
      <c r="N62" s="142"/>
      <c r="O62" s="373"/>
      <c r="P62" s="386"/>
      <c r="Q62" s="383"/>
      <c r="R62" s="130">
        <v>2</v>
      </c>
      <c r="S62" s="98"/>
      <c r="T62" s="131" t="str">
        <f t="shared" ref="T62:T63" si="88">IF(OR(U62="Preventivo",U62="Detectivo"),"Probabilidad",IF(U62="Correctivo","Impacto",""))</f>
        <v/>
      </c>
      <c r="U62" s="132"/>
      <c r="V62" s="132"/>
      <c r="W62" s="133"/>
      <c r="X62" s="132"/>
      <c r="Y62" s="132"/>
      <c r="Z62" s="132"/>
      <c r="AA62" s="134" t="str">
        <f>IFERROR(IF(T62="Probabilidad",(AA61-(+AA61*W62)),IF(T62="Impacto",L62,"")),"")</f>
        <v/>
      </c>
      <c r="AB62" s="135" t="str">
        <f t="shared" ref="AB62:AB63" si="89">IFERROR(IF(AA62="","",IF(AA62&lt;=0.2,"Muy Baja",IF(AA62&lt;=0.4,"Baja",IF(AA62&lt;=0.6,"Media",IF(AA62&lt;=0.8,"Alta","Muy Alta"))))),"")</f>
        <v/>
      </c>
      <c r="AC62" s="136" t="str">
        <f t="shared" ref="AC62:AC63" si="90">+AA62</f>
        <v/>
      </c>
      <c r="AD62" s="135" t="str">
        <f t="shared" ref="AD62:AD63" si="91">IFERROR(IF(AE62="","",IF(AE62&lt;=0.2,"Leve",IF(AE62&lt;=0.4,"Menor",IF(AE62&lt;=0.6,"Moderado",IF(AE62&lt;=0.8,"Mayor","Catastrófico"))))),"")</f>
        <v/>
      </c>
      <c r="AE62" s="136" t="str">
        <f t="shared" ref="AE62:AE63" si="92">IFERROR(IF(T62="Impacto",(P62-(+P62*W62)),IF(T62="Probabilidad",P62,"")),"")</f>
        <v/>
      </c>
      <c r="AF62" s="137" t="str">
        <f t="shared" ref="AF62:AF63" si="93">IFERROR(IF(OR(AND(AB62="Muy Baja",AD62="Leve"),AND(AB62="Muy Baja",AD62="Menor"),AND(AB62="Baja",AD62="Leve")),"Bajo",IF(OR(AND(AB62="Muy baja",AD62="Moderado"),AND(AB62="Baja",AD62="Menor"),AND(AB62="Baja",AD62="Moderado"),AND(AB62="Media",AD62="Leve"),AND(AB62="Media",AD62="Menor"),AND(AB62="Media",AD62="Moderado"),AND(AB62="Alta",AD62="Leve"),AND(AB62="Alta",AD62="Menor")),"Moderado",IF(OR(AND(AB62="Muy Baja",AD62="Mayor"),AND(AB62="Baja",AD62="Mayor"),AND(AB62="Media",AD62="Mayor"),AND(AB62="Alta",AD62="Moderado"),AND(AB62="Alta",AD62="Mayor"),AND(AB62="Muy Alta",AD62="Leve"),AND(AB62="Muy Alta",AD62="Menor"),AND(AB62="Muy Alta",AD62="Moderado"),AND(AB62="Muy Alta",AD62="Mayor")),"Alto",IF(OR(AND(AB62="Muy Baja",AD62="Catastrófico"),AND(AB62="Baja",AD62="Catastrófico"),AND(AB62="Media",AD62="Catastrófico"),AND(AB62="Alta",AD62="Catastrófico"),AND(AB62="Muy Alta",AD62="Catastrófico")),"Extremo","")))),"")</f>
        <v/>
      </c>
      <c r="AG62" s="138"/>
      <c r="AH62" s="119"/>
      <c r="AI62" s="127"/>
      <c r="AJ62" s="143"/>
      <c r="AK62" s="143"/>
      <c r="AL62" s="119"/>
      <c r="AM62" s="140"/>
    </row>
    <row r="63" spans="1:39" s="164" customFormat="1" ht="151.5" customHeight="1" x14ac:dyDescent="0.35">
      <c r="A63" s="394"/>
      <c r="B63" s="371"/>
      <c r="C63" s="391"/>
      <c r="D63" s="393"/>
      <c r="E63" s="378"/>
      <c r="F63" s="378"/>
      <c r="G63" s="378"/>
      <c r="H63" s="380"/>
      <c r="I63" s="378"/>
      <c r="J63" s="376"/>
      <c r="K63" s="374"/>
      <c r="L63" s="387"/>
      <c r="M63" s="389"/>
      <c r="N63" s="142"/>
      <c r="O63" s="374"/>
      <c r="P63" s="387"/>
      <c r="Q63" s="384"/>
      <c r="R63" s="130">
        <v>3</v>
      </c>
      <c r="S63" s="98"/>
      <c r="T63" s="131" t="str">
        <f t="shared" si="88"/>
        <v/>
      </c>
      <c r="U63" s="132"/>
      <c r="V63" s="132"/>
      <c r="W63" s="133"/>
      <c r="X63" s="132"/>
      <c r="Y63" s="132"/>
      <c r="Z63" s="132"/>
      <c r="AA63" s="134" t="str">
        <f>IFERROR(IF(T63="Probabilidad",(AA62-(+AA62*W63)),IF(T63="Impacto",L63,"")),"")</f>
        <v/>
      </c>
      <c r="AB63" s="135" t="str">
        <f t="shared" si="89"/>
        <v/>
      </c>
      <c r="AC63" s="136" t="str">
        <f t="shared" si="90"/>
        <v/>
      </c>
      <c r="AD63" s="135" t="str">
        <f t="shared" si="91"/>
        <v/>
      </c>
      <c r="AE63" s="136" t="str">
        <f t="shared" si="92"/>
        <v/>
      </c>
      <c r="AF63" s="137" t="str">
        <f t="shared" si="93"/>
        <v/>
      </c>
      <c r="AG63" s="138"/>
      <c r="AH63" s="119"/>
      <c r="AI63" s="127"/>
      <c r="AJ63" s="143"/>
      <c r="AK63" s="143"/>
      <c r="AL63" s="119"/>
      <c r="AM63" s="140"/>
    </row>
    <row r="64" spans="1:39" s="164" customFormat="1" ht="151.5" customHeight="1" x14ac:dyDescent="0.35">
      <c r="A64" s="394">
        <v>20</v>
      </c>
      <c r="B64" s="369" t="s">
        <v>281</v>
      </c>
      <c r="C64" s="390" t="s">
        <v>356</v>
      </c>
      <c r="D64" s="390" t="s">
        <v>388</v>
      </c>
      <c r="E64" s="377" t="s">
        <v>120</v>
      </c>
      <c r="F64" s="381" t="s">
        <v>530</v>
      </c>
      <c r="G64" s="381" t="s">
        <v>531</v>
      </c>
      <c r="H64" s="379" t="s">
        <v>529</v>
      </c>
      <c r="I64" s="377" t="s">
        <v>330</v>
      </c>
      <c r="J64" s="375">
        <v>4</v>
      </c>
      <c r="K64" s="372" t="str">
        <f>IF(J64&lt;=0,"",IF(J64&lt;=2,"Muy Baja",IF(J64&lt;=24,"Baja",IF(J64&lt;=500,"Media",IF(J64&lt;=5000,"Alta","Muy Alta")))))</f>
        <v>Baja</v>
      </c>
      <c r="L64" s="385">
        <f>IF(K64="","",IF(K64="Muy Baja",0.2,IF(K64="Baja",0.4,IF(K64="Media",0.6,IF(K64="Alta",0.8,IF(K64="Muy Alta",1,))))))</f>
        <v>0.4</v>
      </c>
      <c r="M64" s="388" t="s">
        <v>482</v>
      </c>
      <c r="N64" s="129" t="str">
        <f>IF(NOT(ISERROR(MATCH(M64,'Tabla Impacto'!$B$221:$B$223,0))),'Tabla Impacto'!$F$223&amp;"Por favor no seleccionar los criterios de impacto(Afectación Económica o presupuestal y Pérdida Reputacional)",M64)</f>
        <v xml:space="preserve"> Afectación menor a 10 SMLMV .</v>
      </c>
      <c r="O64" s="372" t="str">
        <f>IF(OR(N64='Tabla Impacto'!$C$11,N64='Tabla Impacto'!$D$11),"Leve",IF(OR(N64='Tabla Impacto'!$C$12,N64='Tabla Impacto'!$D$12),"Menor",IF(OR(N64='Tabla Impacto'!$C$13,N64='Tabla Impacto'!$D$13),"Moderado",IF(OR(N64='Tabla Impacto'!$C$14,N64='Tabla Impacto'!$D$14),"Mayor",IF(OR(N64='Tabla Impacto'!$C$15,N64='Tabla Impacto'!$D$15),"Catastrófico","")))))</f>
        <v>Leve</v>
      </c>
      <c r="P64" s="385">
        <f>IF(O64="","",IF(O64="Leve",0.2,IF(O64="Menor",0.4,IF(O64="Moderado",0.6,IF(O64="Mayor",0.8,IF(O64="Catastrófico",1,))))))</f>
        <v>0.2</v>
      </c>
      <c r="Q64" s="382" t="str">
        <f>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Bajo</v>
      </c>
      <c r="R64" s="130">
        <v>1</v>
      </c>
      <c r="S64" s="98" t="s">
        <v>532</v>
      </c>
      <c r="T64" s="131" t="str">
        <f t="shared" si="25"/>
        <v>Probabilidad</v>
      </c>
      <c r="U64" s="132" t="s">
        <v>14</v>
      </c>
      <c r="V64" s="132" t="s">
        <v>9</v>
      </c>
      <c r="W64" s="133" t="str">
        <f t="shared" si="26"/>
        <v>40%</v>
      </c>
      <c r="X64" s="132" t="s">
        <v>19</v>
      </c>
      <c r="Y64" s="132" t="s">
        <v>22</v>
      </c>
      <c r="Z64" s="132" t="s">
        <v>110</v>
      </c>
      <c r="AA64" s="134">
        <f t="shared" si="27"/>
        <v>0.24</v>
      </c>
      <c r="AB64" s="135" t="str">
        <f t="shared" si="28"/>
        <v>Baja</v>
      </c>
      <c r="AC64" s="136">
        <f t="shared" si="29"/>
        <v>0.24</v>
      </c>
      <c r="AD64" s="135" t="str">
        <f t="shared" si="30"/>
        <v>Leve</v>
      </c>
      <c r="AE64" s="136">
        <f t="shared" si="31"/>
        <v>0.2</v>
      </c>
      <c r="AF64" s="137" t="str">
        <f t="shared" si="32"/>
        <v>Bajo</v>
      </c>
      <c r="AG64" s="138" t="s">
        <v>122</v>
      </c>
      <c r="AH64" s="119" t="s">
        <v>533</v>
      </c>
      <c r="AI64" s="127" t="s">
        <v>212</v>
      </c>
      <c r="AJ64" s="143" t="s">
        <v>286</v>
      </c>
      <c r="AK64" s="143" t="s">
        <v>287</v>
      </c>
      <c r="AL64" s="158" t="s">
        <v>542</v>
      </c>
      <c r="AM64" s="140"/>
    </row>
    <row r="65" spans="1:39" s="164" customFormat="1" ht="151.5" customHeight="1" x14ac:dyDescent="0.35">
      <c r="A65" s="394"/>
      <c r="B65" s="370"/>
      <c r="C65" s="393"/>
      <c r="D65" s="393"/>
      <c r="E65" s="378"/>
      <c r="F65" s="378"/>
      <c r="G65" s="378"/>
      <c r="H65" s="380"/>
      <c r="I65" s="378"/>
      <c r="J65" s="376"/>
      <c r="K65" s="373"/>
      <c r="L65" s="386"/>
      <c r="M65" s="389"/>
      <c r="N65" s="142"/>
      <c r="O65" s="373"/>
      <c r="P65" s="386"/>
      <c r="Q65" s="383"/>
      <c r="R65" s="130">
        <v>2</v>
      </c>
      <c r="S65" s="98"/>
      <c r="T65" s="131"/>
      <c r="U65" s="132"/>
      <c r="V65" s="132"/>
      <c r="W65" s="133"/>
      <c r="X65" s="132"/>
      <c r="Y65" s="132"/>
      <c r="Z65" s="132"/>
      <c r="AA65" s="134"/>
      <c r="AB65" s="135"/>
      <c r="AC65" s="136"/>
      <c r="AD65" s="135"/>
      <c r="AE65" s="136"/>
      <c r="AF65" s="137"/>
      <c r="AG65" s="138"/>
      <c r="AH65" s="119"/>
      <c r="AI65" s="127"/>
      <c r="AJ65" s="143"/>
      <c r="AK65" s="143"/>
      <c r="AL65" s="158"/>
      <c r="AM65" s="140"/>
    </row>
    <row r="66" spans="1:39" s="164" customFormat="1" ht="151.5" customHeight="1" x14ac:dyDescent="0.35">
      <c r="A66" s="394"/>
      <c r="B66" s="371"/>
      <c r="C66" s="393"/>
      <c r="D66" s="393"/>
      <c r="E66" s="378"/>
      <c r="F66" s="378"/>
      <c r="G66" s="378"/>
      <c r="H66" s="380"/>
      <c r="I66" s="378"/>
      <c r="J66" s="376"/>
      <c r="K66" s="374"/>
      <c r="L66" s="387"/>
      <c r="M66" s="389"/>
      <c r="N66" s="142"/>
      <c r="O66" s="374"/>
      <c r="P66" s="387"/>
      <c r="Q66" s="384"/>
      <c r="R66" s="130">
        <v>3</v>
      </c>
      <c r="S66" s="98"/>
      <c r="T66" s="131" t="str">
        <f t="shared" ref="T66" si="94">IF(OR(U66="Preventivo",U66="Detectivo"),"Probabilidad",IF(U66="Correctivo","Impacto",""))</f>
        <v/>
      </c>
      <c r="U66" s="132"/>
      <c r="V66" s="132"/>
      <c r="W66" s="133"/>
      <c r="X66" s="132"/>
      <c r="Y66" s="132"/>
      <c r="Z66" s="132"/>
      <c r="AA66" s="134"/>
      <c r="AB66" s="135"/>
      <c r="AC66" s="136"/>
      <c r="AD66" s="135"/>
      <c r="AE66" s="136"/>
      <c r="AF66" s="137"/>
      <c r="AG66" s="138"/>
      <c r="AH66" s="119"/>
      <c r="AI66" s="127"/>
      <c r="AJ66" s="143"/>
      <c r="AK66" s="143"/>
      <c r="AL66" s="119"/>
      <c r="AM66" s="140"/>
    </row>
    <row r="67" spans="1:39" s="164" customFormat="1" ht="151.5" customHeight="1" x14ac:dyDescent="0.35">
      <c r="A67" s="394">
        <v>21</v>
      </c>
      <c r="B67" s="369" t="s">
        <v>281</v>
      </c>
      <c r="C67" s="390" t="s">
        <v>356</v>
      </c>
      <c r="D67" s="390" t="s">
        <v>388</v>
      </c>
      <c r="E67" s="377" t="s">
        <v>118</v>
      </c>
      <c r="F67" s="377" t="s">
        <v>446</v>
      </c>
      <c r="G67" s="377" t="s">
        <v>284</v>
      </c>
      <c r="H67" s="379" t="s">
        <v>283</v>
      </c>
      <c r="I67" s="377" t="s">
        <v>328</v>
      </c>
      <c r="J67" s="375">
        <v>12</v>
      </c>
      <c r="K67" s="372" t="str">
        <f>IF(J67&lt;=0,"",IF(J67&lt;=2,"Muy Baja",IF(J67&lt;=24,"Baja",IF(J67&lt;=500,"Media",IF(J67&lt;=5000,"Alta","Muy Alta")))))</f>
        <v>Baja</v>
      </c>
      <c r="L67" s="385">
        <f>IF(K67="","",IF(K67="Muy Baja",0.2,IF(K67="Baja",0.4,IF(K67="Media",0.6,IF(K67="Alta",0.8,IF(K67="Muy Alta",1,))))))</f>
        <v>0.4</v>
      </c>
      <c r="M67" s="388" t="s">
        <v>491</v>
      </c>
      <c r="N67" s="129" t="str">
        <f>IF(NOT(ISERROR(MATCH(M67,'Tabla Impacto'!$B$221:$B$223,0))),'Tabla Impacto'!$F$223&amp;"Por favor no seleccionar los criterios de impacto(Afectación Económica o presupuestal y Pérdida Reputacional)",M67)</f>
        <v xml:space="preserve"> El riesgo afecta la imagen de la entidad internamente, de conocimiento general, nivel interno, de junta directiva y accionistas y/o de proveedores</v>
      </c>
      <c r="O67" s="372" t="str">
        <f>IF(OR(N67='Tabla Impacto'!$C$11,N67='Tabla Impacto'!$D$11),"Leve",IF(OR(N67='Tabla Impacto'!$C$12,N67='Tabla Impacto'!$D$12),"Menor",IF(OR(N67='Tabla Impacto'!$C$13,N67='Tabla Impacto'!$D$13),"Moderado",IF(OR(N67='Tabla Impacto'!$C$14,N67='Tabla Impacto'!$D$14),"Mayor",IF(OR(N67='Tabla Impacto'!$C$15,N67='Tabla Impacto'!$D$15),"Catastrófico","")))))</f>
        <v>Menor</v>
      </c>
      <c r="P67" s="385">
        <f>IF(O67="","",IF(O67="Leve",0.2,IF(O67="Menor",0.4,IF(O67="Moderado",0.6,IF(O67="Mayor",0.8,IF(O67="Catastrófico",1,))))))</f>
        <v>0.4</v>
      </c>
      <c r="Q67" s="382" t="str">
        <f>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Moderado</v>
      </c>
      <c r="R67" s="130">
        <v>1</v>
      </c>
      <c r="S67" s="119" t="s">
        <v>534</v>
      </c>
      <c r="T67" s="131" t="str">
        <f t="shared" si="25"/>
        <v>Probabilidad</v>
      </c>
      <c r="U67" s="132" t="s">
        <v>15</v>
      </c>
      <c r="V67" s="132" t="s">
        <v>9</v>
      </c>
      <c r="W67" s="133" t="str">
        <f t="shared" si="26"/>
        <v>30%</v>
      </c>
      <c r="X67" s="132" t="s">
        <v>19</v>
      </c>
      <c r="Y67" s="132" t="s">
        <v>22</v>
      </c>
      <c r="Z67" s="132" t="s">
        <v>110</v>
      </c>
      <c r="AA67" s="134">
        <f t="shared" si="27"/>
        <v>0.28000000000000003</v>
      </c>
      <c r="AB67" s="135" t="str">
        <f t="shared" si="28"/>
        <v>Baja</v>
      </c>
      <c r="AC67" s="136">
        <f t="shared" si="29"/>
        <v>0.28000000000000003</v>
      </c>
      <c r="AD67" s="135" t="str">
        <f t="shared" si="30"/>
        <v>Menor</v>
      </c>
      <c r="AE67" s="136">
        <f t="shared" si="31"/>
        <v>0.4</v>
      </c>
      <c r="AF67" s="137" t="str">
        <f t="shared" si="32"/>
        <v>Moderado</v>
      </c>
      <c r="AG67" s="138" t="s">
        <v>122</v>
      </c>
      <c r="AH67" s="119" t="s">
        <v>535</v>
      </c>
      <c r="AI67" s="127" t="s">
        <v>260</v>
      </c>
      <c r="AJ67" s="143" t="s">
        <v>286</v>
      </c>
      <c r="AK67" s="143" t="s">
        <v>287</v>
      </c>
      <c r="AL67" s="119" t="s">
        <v>536</v>
      </c>
      <c r="AM67" s="140"/>
    </row>
    <row r="68" spans="1:39" s="164" customFormat="1" ht="151.5" customHeight="1" x14ac:dyDescent="0.35">
      <c r="A68" s="394"/>
      <c r="B68" s="370"/>
      <c r="C68" s="393"/>
      <c r="D68" s="393"/>
      <c r="E68" s="378"/>
      <c r="F68" s="378"/>
      <c r="G68" s="378"/>
      <c r="H68" s="380"/>
      <c r="I68" s="378"/>
      <c r="J68" s="376"/>
      <c r="K68" s="373"/>
      <c r="L68" s="386"/>
      <c r="M68" s="389"/>
      <c r="N68" s="142"/>
      <c r="O68" s="373"/>
      <c r="P68" s="386"/>
      <c r="Q68" s="383"/>
      <c r="R68" s="130">
        <v>2</v>
      </c>
      <c r="S68" s="119"/>
      <c r="T68" s="131"/>
      <c r="U68" s="132"/>
      <c r="V68" s="132"/>
      <c r="W68" s="133"/>
      <c r="X68" s="132"/>
      <c r="Y68" s="132"/>
      <c r="Z68" s="132"/>
      <c r="AA68" s="134"/>
      <c r="AB68" s="135"/>
      <c r="AC68" s="136"/>
      <c r="AD68" s="135"/>
      <c r="AE68" s="136"/>
      <c r="AF68" s="137"/>
      <c r="AG68" s="138"/>
      <c r="AH68" s="119"/>
      <c r="AI68" s="127"/>
      <c r="AJ68" s="143"/>
      <c r="AK68" s="143"/>
      <c r="AL68" s="119"/>
      <c r="AM68" s="140"/>
    </row>
    <row r="69" spans="1:39" s="164" customFormat="1" ht="151.5" customHeight="1" x14ac:dyDescent="0.35">
      <c r="A69" s="394"/>
      <c r="B69" s="371"/>
      <c r="C69" s="393"/>
      <c r="D69" s="393"/>
      <c r="E69" s="378"/>
      <c r="F69" s="378"/>
      <c r="G69" s="378"/>
      <c r="H69" s="380"/>
      <c r="I69" s="378"/>
      <c r="J69" s="376"/>
      <c r="K69" s="374"/>
      <c r="L69" s="387"/>
      <c r="M69" s="389"/>
      <c r="N69" s="142"/>
      <c r="O69" s="374"/>
      <c r="P69" s="387"/>
      <c r="Q69" s="384"/>
      <c r="R69" s="130">
        <v>3</v>
      </c>
      <c r="S69" s="119"/>
      <c r="T69" s="131"/>
      <c r="U69" s="132"/>
      <c r="V69" s="132"/>
      <c r="W69" s="133"/>
      <c r="X69" s="132"/>
      <c r="Y69" s="132"/>
      <c r="Z69" s="132"/>
      <c r="AA69" s="134"/>
      <c r="AB69" s="135"/>
      <c r="AC69" s="136"/>
      <c r="AD69" s="135"/>
      <c r="AE69" s="136"/>
      <c r="AF69" s="137"/>
      <c r="AG69" s="138"/>
      <c r="AH69" s="119"/>
      <c r="AI69" s="127"/>
      <c r="AJ69" s="143"/>
      <c r="AK69" s="143"/>
      <c r="AL69" s="119"/>
      <c r="AM69" s="140"/>
    </row>
    <row r="70" spans="1:39" s="221" customFormat="1" ht="151.5" customHeight="1" x14ac:dyDescent="0.35">
      <c r="A70" s="418">
        <v>22</v>
      </c>
      <c r="B70" s="419" t="s">
        <v>281</v>
      </c>
      <c r="C70" s="422" t="s">
        <v>356</v>
      </c>
      <c r="D70" s="422" t="s">
        <v>388</v>
      </c>
      <c r="E70" s="379" t="s">
        <v>120</v>
      </c>
      <c r="F70" s="379" t="s">
        <v>538</v>
      </c>
      <c r="G70" s="379" t="s">
        <v>365</v>
      </c>
      <c r="H70" s="379" t="s">
        <v>537</v>
      </c>
      <c r="I70" s="379" t="s">
        <v>115</v>
      </c>
      <c r="J70" s="401">
        <v>20</v>
      </c>
      <c r="K70" s="403" t="str">
        <f>IF(J70&lt;=0,"",IF(J70&lt;=2,"Muy Baja",IF(J70&lt;=24,"Baja",IF(J70&lt;=500,"Media",IF(J70&lt;=5000,"Alta","Muy Alta")))))</f>
        <v>Baja</v>
      </c>
      <c r="L70" s="406">
        <f>IF(K70="","",IF(K70="Muy Baja",0.2,IF(K70="Baja",0.4,IF(K70="Media",0.6,IF(K70="Alta",0.8,IF(K70="Muy Alta",1,))))))</f>
        <v>0.4</v>
      </c>
      <c r="M70" s="409" t="s">
        <v>486</v>
      </c>
      <c r="N70" s="206" t="str">
        <f>IF(NOT(ISERROR(MATCH(M70,'Tabla Impacto'!$B$221:$B$223,0))),'Tabla Impacto'!$F$223&amp;"Por favor no seleccionar los criterios de impacto(Afectación Económica o presupuestal y Pérdida Reputacional)",M70)</f>
        <v xml:space="preserve"> El riesgo afecta la imagen de la entidad con algunos usuarios de relevancia frente al logro de los objetivos</v>
      </c>
      <c r="O70" s="403" t="str">
        <f>IF(OR(N70='Tabla Impacto'!$C$11,N70='Tabla Impacto'!$D$11),"Leve",IF(OR(N70='Tabla Impacto'!$C$12,N70='Tabla Impacto'!$D$12),"Menor",IF(OR(N70='Tabla Impacto'!$C$13,N70='Tabla Impacto'!$D$13),"Moderado",IF(OR(N70='Tabla Impacto'!$C$14,N70='Tabla Impacto'!$D$14),"Mayor",IF(OR(N70='Tabla Impacto'!$C$15,N70='Tabla Impacto'!$D$15),"Catastrófico","")))))</f>
        <v>Moderado</v>
      </c>
      <c r="P70" s="406">
        <f>IF(O70="","",IF(O70="Leve",0.2,IF(O70="Menor",0.4,IF(O70="Moderado",0.6,IF(O70="Mayor",0.8,IF(O70="Catastrófico",1,))))))</f>
        <v>0.6</v>
      </c>
      <c r="Q70" s="411" t="str">
        <f>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Moderado</v>
      </c>
      <c r="R70" s="208">
        <v>1</v>
      </c>
      <c r="S70" s="126" t="s">
        <v>539</v>
      </c>
      <c r="T70" s="209" t="str">
        <f t="shared" ref="T70:T76" si="95">IF(OR(U70="Preventivo",U70="Detectivo"),"Probabilidad",IF(U70="Correctivo","Impacto",""))</f>
        <v>Probabilidad</v>
      </c>
      <c r="U70" s="210" t="s">
        <v>15</v>
      </c>
      <c r="V70" s="210" t="s">
        <v>9</v>
      </c>
      <c r="W70" s="211" t="str">
        <f t="shared" ref="W70:W76" si="96">IF(AND(U70="Preventivo",V70="Automático"),"50%",IF(AND(U70="Preventivo",V70="Manual"),"40%",IF(AND(U70="Detectivo",V70="Automático"),"40%",IF(AND(U70="Detectivo",V70="Manual"),"30%",IF(AND(U70="Correctivo",V70="Automático"),"35%",IF(AND(U70="Correctivo",V70="Manual"),"25%",""))))))</f>
        <v>30%</v>
      </c>
      <c r="X70" s="210" t="s">
        <v>19</v>
      </c>
      <c r="Y70" s="210" t="s">
        <v>22</v>
      </c>
      <c r="Z70" s="210" t="s">
        <v>110</v>
      </c>
      <c r="AA70" s="161">
        <f t="shared" ref="AA70" si="97">IFERROR(IF(T70="Probabilidad",(L70-(+L70*W70)),IF(T70="Impacto",L70,"")),"")</f>
        <v>0.28000000000000003</v>
      </c>
      <c r="AB70" s="212" t="str">
        <f t="shared" ref="AB70:AB76" si="98">IFERROR(IF(AA70="","",IF(AA70&lt;=0.2,"Muy Baja",IF(AA70&lt;=0.4,"Baja",IF(AA70&lt;=0.6,"Media",IF(AA70&lt;=0.8,"Alta","Muy Alta"))))),"")</f>
        <v>Baja</v>
      </c>
      <c r="AC70" s="213">
        <f t="shared" ref="AC70:AC76" si="99">+AA70</f>
        <v>0.28000000000000003</v>
      </c>
      <c r="AD70" s="212" t="str">
        <f t="shared" ref="AD70:AD76" si="100">IFERROR(IF(AE70="","",IF(AE70&lt;=0.2,"Leve",IF(AE70&lt;=0.4,"Menor",IF(AE70&lt;=0.6,"Moderado",IF(AE70&lt;=0.8,"Mayor","Catastrófico"))))),"")</f>
        <v>Moderado</v>
      </c>
      <c r="AE70" s="213">
        <f t="shared" ref="AE70" si="101">IFERROR(IF(T70="Impacto",(P70-(+P70*W70)),IF(T70="Probabilidad",P70,"")),"")</f>
        <v>0.6</v>
      </c>
      <c r="AF70" s="214" t="str">
        <f t="shared" ref="AF70:AF76" si="102">IFERROR(IF(OR(AND(AB70="Muy Baja",AD70="Leve"),AND(AB70="Muy Baja",AD70="Menor"),AND(AB70="Baja",AD70="Leve")),"Bajo",IF(OR(AND(AB70="Muy baja",AD70="Moderado"),AND(AB70="Baja",AD70="Menor"),AND(AB70="Baja",AD70="Moderado"),AND(AB70="Media",AD70="Leve"),AND(AB70="Media",AD70="Menor"),AND(AB70="Media",AD70="Moderado"),AND(AB70="Alta",AD70="Leve"),AND(AB70="Alta",AD70="Menor")),"Moderado",IF(OR(AND(AB70="Muy Baja",AD70="Mayor"),AND(AB70="Baja",AD70="Mayor"),AND(AB70="Media",AD70="Mayor"),AND(AB70="Alta",AD70="Moderado"),AND(AB70="Alta",AD70="Mayor"),AND(AB70="Muy Alta",AD70="Leve"),AND(AB70="Muy Alta",AD70="Menor"),AND(AB70="Muy Alta",AD70="Moderado"),AND(AB70="Muy Alta",AD70="Mayor")),"Alto",IF(OR(AND(AB70="Muy Baja",AD70="Catastrófico"),AND(AB70="Baja",AD70="Catastrófico"),AND(AB70="Media",AD70="Catastrófico"),AND(AB70="Alta",AD70="Catastrófico"),AND(AB70="Muy Alta",AD70="Catastrófico")),"Extremo","")))),"")</f>
        <v>Moderado</v>
      </c>
      <c r="AG70" s="215" t="s">
        <v>122</v>
      </c>
      <c r="AH70" s="126" t="s">
        <v>540</v>
      </c>
      <c r="AI70" s="121" t="s">
        <v>212</v>
      </c>
      <c r="AJ70" s="128" t="s">
        <v>286</v>
      </c>
      <c r="AK70" s="128" t="s">
        <v>287</v>
      </c>
      <c r="AL70" s="126" t="s">
        <v>541</v>
      </c>
      <c r="AM70" s="205"/>
    </row>
    <row r="71" spans="1:39" s="221" customFormat="1" ht="151.5" customHeight="1" x14ac:dyDescent="0.35">
      <c r="A71" s="418"/>
      <c r="B71" s="420"/>
      <c r="C71" s="423"/>
      <c r="D71" s="423"/>
      <c r="E71" s="380"/>
      <c r="F71" s="380"/>
      <c r="G71" s="380"/>
      <c r="H71" s="380"/>
      <c r="I71" s="380"/>
      <c r="J71" s="402"/>
      <c r="K71" s="404"/>
      <c r="L71" s="407"/>
      <c r="M71" s="410"/>
      <c r="N71" s="207"/>
      <c r="O71" s="404"/>
      <c r="P71" s="407"/>
      <c r="Q71" s="412"/>
      <c r="R71" s="208">
        <v>2</v>
      </c>
      <c r="S71" s="202"/>
      <c r="T71" s="194"/>
      <c r="U71" s="195"/>
      <c r="V71" s="195"/>
      <c r="W71" s="196"/>
      <c r="X71" s="195"/>
      <c r="Y71" s="195"/>
      <c r="Z71" s="195"/>
      <c r="AA71" s="197"/>
      <c r="AB71" s="198"/>
      <c r="AC71" s="199"/>
      <c r="AD71" s="198"/>
      <c r="AE71" s="199"/>
      <c r="AF71" s="200"/>
      <c r="AG71" s="201"/>
      <c r="AH71" s="202"/>
      <c r="AI71" s="203"/>
      <c r="AJ71" s="204"/>
      <c r="AK71" s="204"/>
      <c r="AL71" s="202"/>
      <c r="AM71" s="205"/>
    </row>
    <row r="72" spans="1:39" s="221" customFormat="1" ht="151.5" customHeight="1" x14ac:dyDescent="0.35">
      <c r="A72" s="418"/>
      <c r="B72" s="421"/>
      <c r="C72" s="423"/>
      <c r="D72" s="423"/>
      <c r="E72" s="380"/>
      <c r="F72" s="380"/>
      <c r="G72" s="380"/>
      <c r="H72" s="380"/>
      <c r="I72" s="380"/>
      <c r="J72" s="402"/>
      <c r="K72" s="405"/>
      <c r="L72" s="408"/>
      <c r="M72" s="410"/>
      <c r="N72" s="207"/>
      <c r="O72" s="405"/>
      <c r="P72" s="408"/>
      <c r="Q72" s="413"/>
      <c r="R72" s="208">
        <v>3</v>
      </c>
      <c r="S72" s="202"/>
      <c r="T72" s="194"/>
      <c r="U72" s="195"/>
      <c r="V72" s="195"/>
      <c r="W72" s="196"/>
      <c r="X72" s="195"/>
      <c r="Y72" s="195"/>
      <c r="Z72" s="195"/>
      <c r="AA72" s="197"/>
      <c r="AB72" s="198"/>
      <c r="AC72" s="199"/>
      <c r="AD72" s="198"/>
      <c r="AE72" s="199"/>
      <c r="AF72" s="200"/>
      <c r="AG72" s="201"/>
      <c r="AH72" s="202"/>
      <c r="AI72" s="203"/>
      <c r="AJ72" s="204"/>
      <c r="AK72" s="204"/>
      <c r="AL72" s="202"/>
      <c r="AM72" s="205"/>
    </row>
    <row r="73" spans="1:39" s="164" customFormat="1" ht="151.5" customHeight="1" x14ac:dyDescent="0.35">
      <c r="A73" s="394">
        <v>23</v>
      </c>
      <c r="B73" s="369" t="s">
        <v>285</v>
      </c>
      <c r="C73" s="390" t="s">
        <v>389</v>
      </c>
      <c r="D73" s="390" t="s">
        <v>390</v>
      </c>
      <c r="E73" s="377" t="s">
        <v>118</v>
      </c>
      <c r="F73" s="377" t="s">
        <v>331</v>
      </c>
      <c r="G73" s="377" t="s">
        <v>447</v>
      </c>
      <c r="H73" s="379" t="s">
        <v>567</v>
      </c>
      <c r="I73" s="377" t="s">
        <v>115</v>
      </c>
      <c r="J73" s="375">
        <v>30</v>
      </c>
      <c r="K73" s="372" t="str">
        <f>IF(J73&lt;=0,"",IF(J73&lt;=2,"Muy Baja",IF(J73&lt;=24,"Baja",IF(J73&lt;=500,"Media",IF(J73&lt;=5000,"Alta","Muy Alta")))))</f>
        <v>Media</v>
      </c>
      <c r="L73" s="385">
        <f>IF(K73="","",IF(K73="Muy Baja",0.2,IF(K73="Baja",0.4,IF(K73="Media",0.6,IF(K73="Alta",0.8,IF(K73="Muy Alta",1,))))))</f>
        <v>0.6</v>
      </c>
      <c r="M73" s="388" t="s">
        <v>493</v>
      </c>
      <c r="N73" s="129" t="str">
        <f>IF(NOT(ISERROR(MATCH(M73,'Tabla Impacto'!$B$221:$B$223,0))),'Tabla Impacto'!$F$223&amp;"Por favor no seleccionar los criterios de impacto(Afectación Económica o presupuestal y Pérdida Reputacional)",M73)</f>
        <v xml:space="preserve"> El riesgo afecta la imagen de la entidad con efecto publicitario sostenido a nivel de sector administrativo, nivel departamental o municipal</v>
      </c>
      <c r="O73" s="372" t="str">
        <f>IF(OR(N73='Tabla Impacto'!$C$11,N73='Tabla Impacto'!$D$11),"Leve",IF(OR(N73='Tabla Impacto'!$C$12,N73='Tabla Impacto'!$D$12),"Menor",IF(OR(N73='Tabla Impacto'!$C$13,N73='Tabla Impacto'!$D$13),"Moderado",IF(OR(N73='Tabla Impacto'!$C$14,N73='Tabla Impacto'!$D$14),"Mayor",IF(OR(N73='Tabla Impacto'!$C$15,N73='Tabla Impacto'!$D$15),"Catastrófico","")))))</f>
        <v>Mayor</v>
      </c>
      <c r="P73" s="385">
        <f>IF(O73="","",IF(O73="Leve",0.2,IF(O73="Menor",0.4,IF(O73="Moderado",0.6,IF(O73="Mayor",0.8,IF(O73="Catastrófico",1,))))))</f>
        <v>0.8</v>
      </c>
      <c r="Q73" s="382" t="str">
        <f>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Alto</v>
      </c>
      <c r="R73" s="130">
        <v>1</v>
      </c>
      <c r="S73" s="119" t="s">
        <v>588</v>
      </c>
      <c r="T73" s="159" t="str">
        <f t="shared" si="95"/>
        <v>Probabilidad</v>
      </c>
      <c r="U73" s="147" t="s">
        <v>14</v>
      </c>
      <c r="V73" s="132" t="s">
        <v>9</v>
      </c>
      <c r="W73" s="133" t="str">
        <f t="shared" si="96"/>
        <v>40%</v>
      </c>
      <c r="X73" s="132" t="s">
        <v>19</v>
      </c>
      <c r="Y73" s="132" t="s">
        <v>22</v>
      </c>
      <c r="Z73" s="132" t="s">
        <v>110</v>
      </c>
      <c r="AA73" s="134">
        <f t="shared" ref="AA73:AA76" si="103">IFERROR(IF(T73="Probabilidad",(L73-(+L73*W73)),IF(T73="Impacto",L73,"")),"")</f>
        <v>0.36</v>
      </c>
      <c r="AB73" s="135" t="str">
        <f t="shared" si="98"/>
        <v>Baja</v>
      </c>
      <c r="AC73" s="136">
        <f t="shared" si="99"/>
        <v>0.36</v>
      </c>
      <c r="AD73" s="135" t="str">
        <f t="shared" si="100"/>
        <v>Mayor</v>
      </c>
      <c r="AE73" s="136">
        <f t="shared" ref="AE73:AE76" si="104">IFERROR(IF(T73="Impacto",(P73-(+P73*W73)),IF(T73="Probabilidad",P73,"")),"")</f>
        <v>0.8</v>
      </c>
      <c r="AF73" s="137" t="str">
        <f t="shared" si="102"/>
        <v>Alto</v>
      </c>
      <c r="AG73" s="138" t="s">
        <v>122</v>
      </c>
      <c r="AH73" s="126" t="s">
        <v>568</v>
      </c>
      <c r="AI73" s="121" t="s">
        <v>212</v>
      </c>
      <c r="AJ73" s="128" t="s">
        <v>286</v>
      </c>
      <c r="AK73" s="128" t="s">
        <v>287</v>
      </c>
      <c r="AL73" s="126" t="s">
        <v>391</v>
      </c>
      <c r="AM73" s="140"/>
    </row>
    <row r="74" spans="1:39" s="164" customFormat="1" ht="151.5" customHeight="1" x14ac:dyDescent="0.35">
      <c r="A74" s="394"/>
      <c r="B74" s="370"/>
      <c r="C74" s="391"/>
      <c r="D74" s="393"/>
      <c r="E74" s="378"/>
      <c r="F74" s="378"/>
      <c r="G74" s="378"/>
      <c r="H74" s="380"/>
      <c r="I74" s="378"/>
      <c r="J74" s="376"/>
      <c r="K74" s="373"/>
      <c r="L74" s="386"/>
      <c r="M74" s="389"/>
      <c r="N74" s="142"/>
      <c r="O74" s="373"/>
      <c r="P74" s="386"/>
      <c r="Q74" s="383"/>
      <c r="R74" s="130">
        <v>2</v>
      </c>
      <c r="S74" s="119"/>
      <c r="T74" s="159"/>
      <c r="U74" s="147"/>
      <c r="V74" s="132"/>
      <c r="W74" s="133"/>
      <c r="X74" s="132"/>
      <c r="Y74" s="132"/>
      <c r="Z74" s="132"/>
      <c r="AA74" s="134"/>
      <c r="AB74" s="135"/>
      <c r="AC74" s="136"/>
      <c r="AD74" s="135"/>
      <c r="AE74" s="136"/>
      <c r="AF74" s="137"/>
      <c r="AG74" s="138"/>
      <c r="AH74" s="126"/>
      <c r="AI74" s="121"/>
      <c r="AJ74" s="128"/>
      <c r="AK74" s="128"/>
      <c r="AL74" s="126"/>
      <c r="AM74" s="140"/>
    </row>
    <row r="75" spans="1:39" s="164" customFormat="1" ht="151.5" customHeight="1" x14ac:dyDescent="0.35">
      <c r="A75" s="396"/>
      <c r="B75" s="371"/>
      <c r="C75" s="391"/>
      <c r="D75" s="393"/>
      <c r="E75" s="378"/>
      <c r="F75" s="378"/>
      <c r="G75" s="378"/>
      <c r="H75" s="380"/>
      <c r="I75" s="378"/>
      <c r="J75" s="376"/>
      <c r="K75" s="374"/>
      <c r="L75" s="387"/>
      <c r="M75" s="389"/>
      <c r="N75" s="142"/>
      <c r="O75" s="374"/>
      <c r="P75" s="387"/>
      <c r="Q75" s="384"/>
      <c r="R75" s="130">
        <v>3</v>
      </c>
      <c r="S75" s="119"/>
      <c r="T75" s="159"/>
      <c r="U75" s="147"/>
      <c r="V75" s="132"/>
      <c r="W75" s="133"/>
      <c r="X75" s="132"/>
      <c r="Y75" s="132"/>
      <c r="Z75" s="132"/>
      <c r="AA75" s="134"/>
      <c r="AB75" s="135"/>
      <c r="AC75" s="136"/>
      <c r="AD75" s="135"/>
      <c r="AE75" s="136"/>
      <c r="AF75" s="137"/>
      <c r="AG75" s="138"/>
      <c r="AH75" s="126"/>
      <c r="AI75" s="121"/>
      <c r="AJ75" s="128"/>
      <c r="AK75" s="128"/>
      <c r="AL75" s="126"/>
      <c r="AM75" s="140"/>
    </row>
    <row r="76" spans="1:39" s="164" customFormat="1" ht="151.5" customHeight="1" x14ac:dyDescent="0.35">
      <c r="A76" s="395">
        <v>24</v>
      </c>
      <c r="B76" s="369" t="s">
        <v>285</v>
      </c>
      <c r="C76" s="390" t="s">
        <v>389</v>
      </c>
      <c r="D76" s="390" t="s">
        <v>390</v>
      </c>
      <c r="E76" s="377" t="s">
        <v>118</v>
      </c>
      <c r="F76" s="377" t="s">
        <v>288</v>
      </c>
      <c r="G76" s="377" t="s">
        <v>448</v>
      </c>
      <c r="H76" s="379" t="s">
        <v>392</v>
      </c>
      <c r="I76" s="377" t="s">
        <v>328</v>
      </c>
      <c r="J76" s="375">
        <v>12</v>
      </c>
      <c r="K76" s="372" t="str">
        <f>IF(J76&lt;=0,"",IF(J76&lt;=2,"Muy Baja",IF(J76&lt;=24,"Baja",IF(J76&lt;=500,"Media",IF(J76&lt;=5000,"Alta","Muy Alta")))))</f>
        <v>Baja</v>
      </c>
      <c r="L76" s="385">
        <f>IF(K76="","",IF(K76="Muy Baja",0.2,IF(K76="Baja",0.4,IF(K76="Media",0.6,IF(K76="Alta",0.8,IF(K76="Muy Alta",1,))))))</f>
        <v>0.4</v>
      </c>
      <c r="M76" s="388" t="s">
        <v>486</v>
      </c>
      <c r="N76" s="129" t="str">
        <f>IF(NOT(ISERROR(MATCH(M76,'Tabla Impacto'!$B$221:$B$223,0))),'Tabla Impacto'!$F$223&amp;"Por favor no seleccionar los criterios de impacto(Afectación Económica o presupuestal y Pérdida Reputacional)",M76)</f>
        <v xml:space="preserve"> El riesgo afecta la imagen de la entidad con algunos usuarios de relevancia frente al logro de los objetivos</v>
      </c>
      <c r="O76" s="372" t="str">
        <f>IF(OR(N76='Tabla Impacto'!$C$11,N76='Tabla Impacto'!$D$11),"Leve",IF(OR(N76='Tabla Impacto'!$C$12,N76='Tabla Impacto'!$D$12),"Menor",IF(OR(N76='Tabla Impacto'!$C$13,N76='Tabla Impacto'!$D$13),"Moderado",IF(OR(N76='Tabla Impacto'!$C$14,N76='Tabla Impacto'!$D$14),"Mayor",IF(OR(N76='Tabla Impacto'!$C$15,N76='Tabla Impacto'!$D$15),"Catastrófico","")))))</f>
        <v>Moderado</v>
      </c>
      <c r="P76" s="385">
        <f>IF(O76="","",IF(O76="Leve",0.2,IF(O76="Menor",0.4,IF(O76="Moderado",0.6,IF(O76="Mayor",0.8,IF(O76="Catastrófico",1,))))))</f>
        <v>0.6</v>
      </c>
      <c r="Q76" s="382" t="str">
        <f>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30">
        <v>1</v>
      </c>
      <c r="S76" s="98" t="s">
        <v>569</v>
      </c>
      <c r="T76" s="131" t="str">
        <f t="shared" si="95"/>
        <v>Probabilidad</v>
      </c>
      <c r="U76" s="132" t="s">
        <v>14</v>
      </c>
      <c r="V76" s="132" t="s">
        <v>9</v>
      </c>
      <c r="W76" s="133" t="str">
        <f t="shared" si="96"/>
        <v>40%</v>
      </c>
      <c r="X76" s="132" t="s">
        <v>19</v>
      </c>
      <c r="Y76" s="132" t="s">
        <v>22</v>
      </c>
      <c r="Z76" s="132" t="s">
        <v>110</v>
      </c>
      <c r="AA76" s="134">
        <f t="shared" si="103"/>
        <v>0.24</v>
      </c>
      <c r="AB76" s="135" t="str">
        <f t="shared" si="98"/>
        <v>Baja</v>
      </c>
      <c r="AC76" s="136">
        <f t="shared" si="99"/>
        <v>0.24</v>
      </c>
      <c r="AD76" s="135" t="str">
        <f t="shared" si="100"/>
        <v>Moderado</v>
      </c>
      <c r="AE76" s="136">
        <f t="shared" si="104"/>
        <v>0.6</v>
      </c>
      <c r="AF76" s="137" t="str">
        <f t="shared" si="102"/>
        <v>Moderado</v>
      </c>
      <c r="AG76" s="138" t="s">
        <v>122</v>
      </c>
      <c r="AH76" s="119" t="s">
        <v>393</v>
      </c>
      <c r="AI76" s="127" t="s">
        <v>198</v>
      </c>
      <c r="AJ76" s="143" t="s">
        <v>199</v>
      </c>
      <c r="AK76" s="143" t="s">
        <v>199</v>
      </c>
      <c r="AL76" s="119" t="s">
        <v>289</v>
      </c>
      <c r="AM76" s="140"/>
    </row>
    <row r="77" spans="1:39" s="164" customFormat="1" ht="151.5" customHeight="1" x14ac:dyDescent="0.35">
      <c r="A77" s="394"/>
      <c r="B77" s="370"/>
      <c r="C77" s="391"/>
      <c r="D77" s="393"/>
      <c r="E77" s="378"/>
      <c r="F77" s="378"/>
      <c r="G77" s="378"/>
      <c r="H77" s="380"/>
      <c r="I77" s="378"/>
      <c r="J77" s="376"/>
      <c r="K77" s="373"/>
      <c r="L77" s="386"/>
      <c r="M77" s="389"/>
      <c r="N77" s="142"/>
      <c r="O77" s="373"/>
      <c r="P77" s="386"/>
      <c r="Q77" s="383"/>
      <c r="R77" s="130">
        <v>2</v>
      </c>
      <c r="S77" s="98"/>
      <c r="T77" s="131" t="str">
        <f t="shared" ref="T77:T78" si="105">IF(OR(U77="Preventivo",U77="Detectivo"),"Probabilidad",IF(U77="Correctivo","Impacto",""))</f>
        <v/>
      </c>
      <c r="U77" s="132"/>
      <c r="V77" s="132"/>
      <c r="W77" s="133"/>
      <c r="X77" s="132"/>
      <c r="Y77" s="132"/>
      <c r="Z77" s="132"/>
      <c r="AA77" s="134" t="str">
        <f>IFERROR(IF(T77="Probabilidad",(AA76-(+AA76*W77)),IF(T77="Impacto",L77,"")),"")</f>
        <v/>
      </c>
      <c r="AB77" s="135" t="str">
        <f t="shared" ref="AB77:AB78" si="106">IFERROR(IF(AA77="","",IF(AA77&lt;=0.2,"Muy Baja",IF(AA77&lt;=0.4,"Baja",IF(AA77&lt;=0.6,"Media",IF(AA77&lt;=0.8,"Alta","Muy Alta"))))),"")</f>
        <v/>
      </c>
      <c r="AC77" s="136" t="str">
        <f t="shared" ref="AC77:AC78" si="107">+AA77</f>
        <v/>
      </c>
      <c r="AD77" s="135" t="str">
        <f t="shared" ref="AD77:AD78" si="108">IFERROR(IF(AE77="","",IF(AE77&lt;=0.2,"Leve",IF(AE77&lt;=0.4,"Menor",IF(AE77&lt;=0.6,"Moderado",IF(AE77&lt;=0.8,"Mayor","Catastrófico"))))),"")</f>
        <v/>
      </c>
      <c r="AE77" s="136" t="str">
        <f t="shared" ref="AE77:AE78" si="109">IFERROR(IF(T77="Impacto",(P77-(+P77*W77)),IF(T77="Probabilidad",P77,"")),"")</f>
        <v/>
      </c>
      <c r="AF77" s="137" t="str">
        <f t="shared" ref="AF77:AF78" si="110">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
      </c>
      <c r="AG77" s="138"/>
      <c r="AH77" s="119"/>
      <c r="AI77" s="127"/>
      <c r="AJ77" s="143"/>
      <c r="AK77" s="143"/>
      <c r="AL77" s="119"/>
      <c r="AM77" s="140"/>
    </row>
    <row r="78" spans="1:39" s="164" customFormat="1" ht="151.5" customHeight="1" x14ac:dyDescent="0.35">
      <c r="A78" s="394"/>
      <c r="B78" s="371"/>
      <c r="C78" s="391"/>
      <c r="D78" s="393"/>
      <c r="E78" s="378"/>
      <c r="F78" s="378"/>
      <c r="G78" s="378"/>
      <c r="H78" s="380"/>
      <c r="I78" s="378"/>
      <c r="J78" s="376"/>
      <c r="K78" s="374"/>
      <c r="L78" s="387"/>
      <c r="M78" s="389"/>
      <c r="N78" s="142"/>
      <c r="O78" s="374"/>
      <c r="P78" s="387"/>
      <c r="Q78" s="384"/>
      <c r="R78" s="130">
        <v>3</v>
      </c>
      <c r="S78" s="98"/>
      <c r="T78" s="131" t="str">
        <f t="shared" si="105"/>
        <v/>
      </c>
      <c r="U78" s="132"/>
      <c r="V78" s="132"/>
      <c r="W78" s="133"/>
      <c r="X78" s="132"/>
      <c r="Y78" s="132"/>
      <c r="Z78" s="132"/>
      <c r="AA78" s="134" t="str">
        <f>IFERROR(IF(T78="Probabilidad",(AA77-(+AA77*W78)),IF(T78="Impacto",L78,"")),"")</f>
        <v/>
      </c>
      <c r="AB78" s="135" t="str">
        <f t="shared" si="106"/>
        <v/>
      </c>
      <c r="AC78" s="136" t="str">
        <f t="shared" si="107"/>
        <v/>
      </c>
      <c r="AD78" s="135" t="str">
        <f t="shared" si="108"/>
        <v/>
      </c>
      <c r="AE78" s="136" t="str">
        <f t="shared" si="109"/>
        <v/>
      </c>
      <c r="AF78" s="137" t="str">
        <f t="shared" si="110"/>
        <v/>
      </c>
      <c r="AG78" s="138"/>
      <c r="AH78" s="119"/>
      <c r="AI78" s="127"/>
      <c r="AJ78" s="143"/>
      <c r="AK78" s="143"/>
      <c r="AL78" s="119"/>
      <c r="AM78" s="140"/>
    </row>
    <row r="79" spans="1:39" s="164" customFormat="1" ht="151.5" customHeight="1" x14ac:dyDescent="0.35">
      <c r="A79" s="394">
        <v>25</v>
      </c>
      <c r="B79" s="369" t="s">
        <v>285</v>
      </c>
      <c r="C79" s="390" t="s">
        <v>389</v>
      </c>
      <c r="D79" s="390" t="s">
        <v>390</v>
      </c>
      <c r="E79" s="377" t="s">
        <v>120</v>
      </c>
      <c r="F79" s="377" t="s">
        <v>450</v>
      </c>
      <c r="G79" s="377" t="s">
        <v>449</v>
      </c>
      <c r="H79" s="379" t="s">
        <v>397</v>
      </c>
      <c r="I79" s="377" t="s">
        <v>328</v>
      </c>
      <c r="J79" s="375">
        <v>12</v>
      </c>
      <c r="K79" s="372" t="str">
        <f>IF(J79&lt;=0,"",IF(J79&lt;=2,"Muy Baja",IF(J79&lt;=24,"Baja",IF(J79&lt;=500,"Media",IF(J79&lt;=5000,"Alta","Muy Alta")))))</f>
        <v>Baja</v>
      </c>
      <c r="L79" s="385">
        <f>IF(K79="","",IF(K79="Muy Baja",0.2,IF(K79="Baja",0.4,IF(K79="Media",0.6,IF(K79="Alta",0.8,IF(K79="Muy Alta",1,))))))</f>
        <v>0.4</v>
      </c>
      <c r="M79" s="388" t="s">
        <v>486</v>
      </c>
      <c r="N79" s="129" t="str">
        <f>IF(NOT(ISERROR(MATCH(M79,'Tabla Impacto'!$B$221:$B$223,0))),'Tabla Impacto'!$F$223&amp;"Por favor no seleccionar los criterios de impacto(Afectación Económica o presupuestal y Pérdida Reputacional)",M79)</f>
        <v xml:space="preserve"> El riesgo afecta la imagen de la entidad con algunos usuarios de relevancia frente al logro de los objetivos</v>
      </c>
      <c r="O79" s="372" t="str">
        <f>IF(OR(N79='Tabla Impacto'!$C$11,N79='Tabla Impacto'!$D$11),"Leve",IF(OR(N79='Tabla Impacto'!$C$12,N79='Tabla Impacto'!$D$12),"Menor",IF(OR(N79='Tabla Impacto'!$C$13,N79='Tabla Impacto'!$D$13),"Moderado",IF(OR(N79='Tabla Impacto'!$C$14,N79='Tabla Impacto'!$D$14),"Mayor",IF(OR(N79='Tabla Impacto'!$C$15,N79='Tabla Impacto'!$D$15),"Catastrófico","")))))</f>
        <v>Moderado</v>
      </c>
      <c r="P79" s="385">
        <f>IF(O79="","",IF(O79="Leve",0.2,IF(O79="Menor",0.4,IF(O79="Moderado",0.6,IF(O79="Mayor",0.8,IF(O79="Catastrófico",1,))))))</f>
        <v>0.6</v>
      </c>
      <c r="Q79" s="382" t="str">
        <f>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30">
        <v>1</v>
      </c>
      <c r="S79" s="98" t="s">
        <v>340</v>
      </c>
      <c r="T79" s="131" t="str">
        <f t="shared" si="25"/>
        <v>Probabilidad</v>
      </c>
      <c r="U79" s="132" t="s">
        <v>14</v>
      </c>
      <c r="V79" s="132" t="s">
        <v>9</v>
      </c>
      <c r="W79" s="133" t="str">
        <f t="shared" si="26"/>
        <v>40%</v>
      </c>
      <c r="X79" s="132" t="s">
        <v>19</v>
      </c>
      <c r="Y79" s="132" t="s">
        <v>22</v>
      </c>
      <c r="Z79" s="132" t="s">
        <v>110</v>
      </c>
      <c r="AA79" s="134">
        <f t="shared" si="27"/>
        <v>0.24</v>
      </c>
      <c r="AB79" s="135" t="str">
        <f t="shared" si="28"/>
        <v>Baja</v>
      </c>
      <c r="AC79" s="136">
        <f t="shared" si="29"/>
        <v>0.24</v>
      </c>
      <c r="AD79" s="135" t="str">
        <f t="shared" si="30"/>
        <v>Moderado</v>
      </c>
      <c r="AE79" s="136">
        <f t="shared" si="31"/>
        <v>0.6</v>
      </c>
      <c r="AF79" s="137" t="str">
        <f t="shared" si="32"/>
        <v>Moderado</v>
      </c>
      <c r="AG79" s="138" t="s">
        <v>122</v>
      </c>
      <c r="AH79" s="119" t="s">
        <v>290</v>
      </c>
      <c r="AI79" s="144" t="s">
        <v>260</v>
      </c>
      <c r="AJ79" s="143" t="s">
        <v>286</v>
      </c>
      <c r="AK79" s="143" t="s">
        <v>287</v>
      </c>
      <c r="AL79" s="119" t="s">
        <v>291</v>
      </c>
      <c r="AM79" s="140"/>
    </row>
    <row r="80" spans="1:39" s="164" customFormat="1" ht="151.5" customHeight="1" x14ac:dyDescent="0.35">
      <c r="A80" s="394"/>
      <c r="B80" s="370"/>
      <c r="C80" s="391"/>
      <c r="D80" s="393"/>
      <c r="E80" s="378"/>
      <c r="F80" s="378"/>
      <c r="G80" s="378"/>
      <c r="H80" s="380"/>
      <c r="I80" s="378"/>
      <c r="J80" s="376"/>
      <c r="K80" s="373"/>
      <c r="L80" s="386"/>
      <c r="M80" s="389"/>
      <c r="N80" s="142"/>
      <c r="O80" s="373"/>
      <c r="P80" s="386"/>
      <c r="Q80" s="383"/>
      <c r="R80" s="130">
        <v>2</v>
      </c>
      <c r="S80" s="98" t="s">
        <v>394</v>
      </c>
      <c r="T80" s="131" t="str">
        <f t="shared" ref="T80:T81" si="111">IF(OR(U80="Preventivo",U80="Detectivo"),"Probabilidad",IF(U80="Correctivo","Impacto",""))</f>
        <v>Probabilidad</v>
      </c>
      <c r="U80" s="132" t="s">
        <v>15</v>
      </c>
      <c r="V80" s="132" t="s">
        <v>9</v>
      </c>
      <c r="W80" s="133" t="str">
        <f t="shared" ref="W80:W81" si="112">IF(AND(U80="Preventivo",V80="Automático"),"50%",IF(AND(U80="Preventivo",V80="Manual"),"40%",IF(AND(U80="Detectivo",V80="Automático"),"40%",IF(AND(U80="Detectivo",V80="Manual"),"30%",IF(AND(U80="Correctivo",V80="Automático"),"35%",IF(AND(U80="Correctivo",V80="Manual"),"25%",""))))))</f>
        <v>30%</v>
      </c>
      <c r="X80" s="132" t="s">
        <v>20</v>
      </c>
      <c r="Y80" s="132" t="s">
        <v>23</v>
      </c>
      <c r="Z80" s="132" t="s">
        <v>110</v>
      </c>
      <c r="AA80" s="134">
        <f>IFERROR(IF(T80="Probabilidad",(AA79-(+AA79*W80)),IF(T80="Impacto",L80,"")),"")</f>
        <v>0.16799999999999998</v>
      </c>
      <c r="AB80" s="135" t="str">
        <f t="shared" ref="AB80:AB81" si="113">IFERROR(IF(AA80="","",IF(AA80&lt;=0.2,"Muy Baja",IF(AA80&lt;=0.4,"Baja",IF(AA80&lt;=0.6,"Media",IF(AA80&lt;=0.8,"Alta","Muy Alta"))))),"")</f>
        <v>Muy Baja</v>
      </c>
      <c r="AC80" s="136">
        <f t="shared" ref="AC80:AC81" si="114">+AA80</f>
        <v>0.16799999999999998</v>
      </c>
      <c r="AD80" s="135" t="str">
        <f t="shared" ref="AD80:AD81" si="115">IFERROR(IF(AE80="","",IF(AE80&lt;=0.2,"Leve",IF(AE80&lt;=0.4,"Menor",IF(AE80&lt;=0.6,"Moderado",IF(AE80&lt;=0.8,"Mayor","Catastrófico"))))),"")</f>
        <v>Moderado</v>
      </c>
      <c r="AE80" s="136">
        <v>0.6</v>
      </c>
      <c r="AF80" s="137" t="str">
        <f t="shared" ref="AF80:AF81" si="116">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38" t="s">
        <v>122</v>
      </c>
      <c r="AH80" s="119" t="s">
        <v>395</v>
      </c>
      <c r="AI80" s="144" t="s">
        <v>260</v>
      </c>
      <c r="AJ80" s="143" t="s">
        <v>286</v>
      </c>
      <c r="AK80" s="143" t="s">
        <v>287</v>
      </c>
      <c r="AL80" s="119" t="s">
        <v>291</v>
      </c>
      <c r="AM80" s="140"/>
    </row>
    <row r="81" spans="1:39" s="164" customFormat="1" ht="151.5" customHeight="1" x14ac:dyDescent="0.35">
      <c r="A81" s="394"/>
      <c r="B81" s="371"/>
      <c r="C81" s="391"/>
      <c r="D81" s="393"/>
      <c r="E81" s="378"/>
      <c r="F81" s="378"/>
      <c r="G81" s="378"/>
      <c r="H81" s="380"/>
      <c r="I81" s="378"/>
      <c r="J81" s="376"/>
      <c r="K81" s="374"/>
      <c r="L81" s="387"/>
      <c r="M81" s="389"/>
      <c r="N81" s="142"/>
      <c r="O81" s="374"/>
      <c r="P81" s="387"/>
      <c r="Q81" s="384"/>
      <c r="R81" s="130">
        <v>3</v>
      </c>
      <c r="S81" s="98" t="s">
        <v>341</v>
      </c>
      <c r="T81" s="131" t="str">
        <f t="shared" si="111"/>
        <v>Probabilidad</v>
      </c>
      <c r="U81" s="132" t="s">
        <v>14</v>
      </c>
      <c r="V81" s="132" t="s">
        <v>9</v>
      </c>
      <c r="W81" s="133" t="str">
        <f t="shared" si="112"/>
        <v>40%</v>
      </c>
      <c r="X81" s="132" t="s">
        <v>19</v>
      </c>
      <c r="Y81" s="132" t="s">
        <v>22</v>
      </c>
      <c r="Z81" s="132" t="s">
        <v>110</v>
      </c>
      <c r="AA81" s="134">
        <f>IFERROR(IF(T81="Probabilidad",(AA80-(+AA80*W81)),IF(T81="Impacto",L81,"")),"")</f>
        <v>0.10079999999999999</v>
      </c>
      <c r="AB81" s="135" t="str">
        <f t="shared" si="113"/>
        <v>Muy Baja</v>
      </c>
      <c r="AC81" s="136">
        <f t="shared" si="114"/>
        <v>0.10079999999999999</v>
      </c>
      <c r="AD81" s="135" t="str">
        <f t="shared" si="115"/>
        <v>Moderado</v>
      </c>
      <c r="AE81" s="136">
        <v>0.6</v>
      </c>
      <c r="AF81" s="137" t="str">
        <f t="shared" si="116"/>
        <v>Moderado</v>
      </c>
      <c r="AG81" s="138" t="s">
        <v>122</v>
      </c>
      <c r="AH81" s="119" t="s">
        <v>396</v>
      </c>
      <c r="AI81" s="144" t="s">
        <v>260</v>
      </c>
      <c r="AJ81" s="143" t="s">
        <v>286</v>
      </c>
      <c r="AK81" s="143" t="s">
        <v>287</v>
      </c>
      <c r="AL81" s="119" t="s">
        <v>291</v>
      </c>
      <c r="AM81" s="140"/>
    </row>
    <row r="82" spans="1:39" s="164" customFormat="1" ht="151.5" customHeight="1" x14ac:dyDescent="0.35">
      <c r="A82" s="394">
        <v>26</v>
      </c>
      <c r="B82" s="322" t="s">
        <v>292</v>
      </c>
      <c r="C82" s="390" t="s">
        <v>357</v>
      </c>
      <c r="D82" s="390" t="s">
        <v>398</v>
      </c>
      <c r="E82" s="377" t="s">
        <v>120</v>
      </c>
      <c r="F82" s="377" t="s">
        <v>293</v>
      </c>
      <c r="G82" s="377" t="s">
        <v>294</v>
      </c>
      <c r="H82" s="379" t="s">
        <v>562</v>
      </c>
      <c r="I82" s="377" t="s">
        <v>115</v>
      </c>
      <c r="J82" s="375">
        <v>2</v>
      </c>
      <c r="K82" s="372" t="str">
        <f>IF(J82&lt;=0,"",IF(J82&lt;=2,"Muy Baja",IF(J82&lt;=24,"Baja",IF(J82&lt;=500,"Media",IF(J82&lt;=5000,"Alta","Muy Alta")))))</f>
        <v>Muy Baja</v>
      </c>
      <c r="L82" s="385">
        <f>IF(K82="","",IF(K82="Muy Baja",0.2,IF(K82="Baja",0.4,IF(K82="Media",0.6,IF(K82="Alta",0.8,IF(K82="Muy Alta",1,))))))</f>
        <v>0.2</v>
      </c>
      <c r="M82" s="388" t="s">
        <v>485</v>
      </c>
      <c r="N82" s="129" t="str">
        <f>IF(NOT(ISERROR(MATCH(M82,'Tabla Impacto'!$B$221:$B$223,0))),'Tabla Impacto'!$F$223&amp;"Por favor no seleccionar los criterios de impacto(Afectación Económica o presupuestal y Pérdida Reputacional)",M82)</f>
        <v xml:space="preserve"> Entre 50 y 100 SMLMV </v>
      </c>
      <c r="O82" s="372" t="str">
        <f>IF(OR(N82='Tabla Impacto'!$C$11,N82='Tabla Impacto'!$D$11),"Leve",IF(OR(N82='Tabla Impacto'!$C$12,N82='Tabla Impacto'!$D$12),"Menor",IF(OR(N82='Tabla Impacto'!$C$13,N82='Tabla Impacto'!$D$13),"Moderado",IF(OR(N82='Tabla Impacto'!$C$14,N82='Tabla Impacto'!$D$14),"Mayor",IF(OR(N82='Tabla Impacto'!$C$15,N82='Tabla Impacto'!$D$15),"Catastrófico","")))))</f>
        <v>Moderado</v>
      </c>
      <c r="P82" s="385">
        <f>IF(O82="","",IF(O82="Leve",0.2,IF(O82="Menor",0.4,IF(O82="Moderado",0.6,IF(O82="Mayor",0.8,IF(O82="Catastrófico",1,))))))</f>
        <v>0.6</v>
      </c>
      <c r="Q82" s="382" t="str">
        <f>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Moderado</v>
      </c>
      <c r="R82" s="130">
        <v>1</v>
      </c>
      <c r="S82" s="98" t="s">
        <v>563</v>
      </c>
      <c r="T82" s="131" t="str">
        <f t="shared" si="25"/>
        <v>Probabilidad</v>
      </c>
      <c r="U82" s="132" t="s">
        <v>14</v>
      </c>
      <c r="V82" s="132" t="s">
        <v>9</v>
      </c>
      <c r="W82" s="133" t="str">
        <f t="shared" si="26"/>
        <v>40%</v>
      </c>
      <c r="X82" s="132" t="s">
        <v>20</v>
      </c>
      <c r="Y82" s="132" t="s">
        <v>22</v>
      </c>
      <c r="Z82" s="132" t="s">
        <v>110</v>
      </c>
      <c r="AA82" s="134">
        <f t="shared" si="27"/>
        <v>0.12</v>
      </c>
      <c r="AB82" s="135" t="str">
        <f t="shared" si="28"/>
        <v>Muy Baja</v>
      </c>
      <c r="AC82" s="136">
        <f t="shared" si="29"/>
        <v>0.12</v>
      </c>
      <c r="AD82" s="135" t="str">
        <f t="shared" si="30"/>
        <v>Moderado</v>
      </c>
      <c r="AE82" s="136">
        <f t="shared" si="31"/>
        <v>0.6</v>
      </c>
      <c r="AF82" s="137" t="str">
        <f t="shared" si="32"/>
        <v>Moderado</v>
      </c>
      <c r="AG82" s="138" t="s">
        <v>122</v>
      </c>
      <c r="AH82" s="119" t="s">
        <v>564</v>
      </c>
      <c r="AI82" s="127" t="s">
        <v>260</v>
      </c>
      <c r="AJ82" s="156">
        <v>44562</v>
      </c>
      <c r="AK82" s="157" t="s">
        <v>373</v>
      </c>
      <c r="AL82" s="119" t="s">
        <v>451</v>
      </c>
      <c r="AM82" s="140"/>
    </row>
    <row r="83" spans="1:39" s="164" customFormat="1" ht="151.5" customHeight="1" x14ac:dyDescent="0.35">
      <c r="A83" s="394"/>
      <c r="B83" s="323"/>
      <c r="C83" s="393"/>
      <c r="D83" s="393"/>
      <c r="E83" s="378"/>
      <c r="F83" s="378"/>
      <c r="G83" s="378"/>
      <c r="H83" s="380"/>
      <c r="I83" s="378"/>
      <c r="J83" s="376"/>
      <c r="K83" s="373"/>
      <c r="L83" s="386"/>
      <c r="M83" s="389"/>
      <c r="N83" s="142"/>
      <c r="O83" s="373"/>
      <c r="P83" s="386"/>
      <c r="Q83" s="383"/>
      <c r="R83" s="130">
        <v>2</v>
      </c>
      <c r="S83" s="98" t="s">
        <v>342</v>
      </c>
      <c r="T83" s="131" t="str">
        <f t="shared" ref="T83:T85" si="117">IF(OR(U83="Preventivo",U83="Detectivo"),"Probabilidad",IF(U83="Correctivo","Impacto",""))</f>
        <v>Probabilidad</v>
      </c>
      <c r="U83" s="132" t="s">
        <v>14</v>
      </c>
      <c r="V83" s="132" t="s">
        <v>9</v>
      </c>
      <c r="W83" s="133" t="str">
        <f t="shared" ref="W83:W85" si="118">IF(AND(U83="Preventivo",V83="Automático"),"50%",IF(AND(U83="Preventivo",V83="Manual"),"40%",IF(AND(U83="Detectivo",V83="Automático"),"40%",IF(AND(U83="Detectivo",V83="Manual"),"30%",IF(AND(U83="Correctivo",V83="Automático"),"35%",IF(AND(U83="Correctivo",V83="Manual"),"25%",""))))))</f>
        <v>40%</v>
      </c>
      <c r="X83" s="132" t="s">
        <v>19</v>
      </c>
      <c r="Y83" s="132" t="s">
        <v>22</v>
      </c>
      <c r="Z83" s="132" t="s">
        <v>110</v>
      </c>
      <c r="AA83" s="134">
        <f>IFERROR(IF(T83="Probabilidad",(AA82-(+AA82*W83)),IF(T83="Impacto",L83,"")),"")</f>
        <v>7.1999999999999995E-2</v>
      </c>
      <c r="AB83" s="135" t="str">
        <f t="shared" ref="AB83:AB85" si="119">IFERROR(IF(AA83="","",IF(AA83&lt;=0.2,"Muy Baja",IF(AA83&lt;=0.4,"Baja",IF(AA83&lt;=0.6,"Media",IF(AA83&lt;=0.8,"Alta","Muy Alta"))))),"")</f>
        <v>Muy Baja</v>
      </c>
      <c r="AC83" s="136">
        <f t="shared" ref="AC83:AC85" si="120">+AA83</f>
        <v>7.1999999999999995E-2</v>
      </c>
      <c r="AD83" s="135" t="str">
        <f t="shared" ref="AD83:AD85" si="121">IFERROR(IF(AE83="","",IF(AE83&lt;=0.2,"Leve",IF(AE83&lt;=0.4,"Menor",IF(AE83&lt;=0.6,"Moderado",IF(AE83&lt;=0.8,"Mayor","Catastrófico"))))),"")</f>
        <v>Moderado</v>
      </c>
      <c r="AE83" s="136">
        <f>+AE82</f>
        <v>0.6</v>
      </c>
      <c r="AF83" s="137" t="str">
        <f t="shared" ref="AF83:AF85" si="122">IFERROR(IF(OR(AND(AB83="Muy Baja",AD83="Leve"),AND(AB83="Muy Baja",AD83="Menor"),AND(AB83="Baja",AD83="Leve")),"Bajo",IF(OR(AND(AB83="Muy baja",AD83="Moderado"),AND(AB83="Baja",AD83="Menor"),AND(AB83="Baja",AD83="Moderado"),AND(AB83="Media",AD83="Leve"),AND(AB83="Media",AD83="Menor"),AND(AB83="Media",AD83="Moderado"),AND(AB83="Alta",AD83="Leve"),AND(AB83="Alta",AD83="Menor")),"Moderado",IF(OR(AND(AB83="Muy Baja",AD83="Mayor"),AND(AB83="Baja",AD83="Mayor"),AND(AB83="Media",AD83="Mayor"),AND(AB83="Alta",AD83="Moderado"),AND(AB83="Alta",AD83="Mayor"),AND(AB83="Muy Alta",AD83="Leve"),AND(AB83="Muy Alta",AD83="Menor"),AND(AB83="Muy Alta",AD83="Moderado"),AND(AB83="Muy Alta",AD83="Mayor")),"Alto",IF(OR(AND(AB83="Muy Baja",AD83="Catastrófico"),AND(AB83="Baja",AD83="Catastrófico"),AND(AB83="Media",AD83="Catastrófico"),AND(AB83="Alta",AD83="Catastrófico"),AND(AB83="Muy Alta",AD83="Catastrófico")),"Extremo","")))),"")</f>
        <v>Moderado</v>
      </c>
      <c r="AG83" s="138" t="s">
        <v>122</v>
      </c>
      <c r="AH83" s="119" t="s">
        <v>565</v>
      </c>
      <c r="AI83" s="127" t="s">
        <v>399</v>
      </c>
      <c r="AJ83" s="156">
        <v>44562</v>
      </c>
      <c r="AK83" s="157" t="s">
        <v>373</v>
      </c>
      <c r="AL83" s="119" t="s">
        <v>451</v>
      </c>
      <c r="AM83" s="140"/>
    </row>
    <row r="84" spans="1:39" s="164" customFormat="1" ht="151.5" customHeight="1" x14ac:dyDescent="0.35">
      <c r="A84" s="394"/>
      <c r="B84" s="324"/>
      <c r="C84" s="393"/>
      <c r="D84" s="393"/>
      <c r="E84" s="378"/>
      <c r="F84" s="378"/>
      <c r="G84" s="378"/>
      <c r="H84" s="380"/>
      <c r="I84" s="378"/>
      <c r="J84" s="376"/>
      <c r="K84" s="374"/>
      <c r="L84" s="387"/>
      <c r="M84" s="389"/>
      <c r="N84" s="142"/>
      <c r="O84" s="374"/>
      <c r="P84" s="387"/>
      <c r="Q84" s="384"/>
      <c r="R84" s="130">
        <v>3</v>
      </c>
      <c r="S84" s="139" t="s">
        <v>589</v>
      </c>
      <c r="T84" s="131" t="str">
        <f t="shared" si="117"/>
        <v>Probabilidad</v>
      </c>
      <c r="U84" s="132" t="s">
        <v>15</v>
      </c>
      <c r="V84" s="132" t="s">
        <v>9</v>
      </c>
      <c r="W84" s="133" t="str">
        <f t="shared" si="118"/>
        <v>30%</v>
      </c>
      <c r="X84" s="132" t="s">
        <v>20</v>
      </c>
      <c r="Y84" s="132" t="s">
        <v>23</v>
      </c>
      <c r="Z84" s="132" t="s">
        <v>111</v>
      </c>
      <c r="AA84" s="134">
        <f>IFERROR(IF(T84="Probabilidad",(AA83-(+AA83*W84)),IF(T84="Impacto",L84,"")),"")</f>
        <v>5.04E-2</v>
      </c>
      <c r="AB84" s="135" t="str">
        <f t="shared" si="119"/>
        <v>Muy Baja</v>
      </c>
      <c r="AC84" s="136">
        <f t="shared" si="120"/>
        <v>5.04E-2</v>
      </c>
      <c r="AD84" s="135" t="str">
        <f t="shared" si="121"/>
        <v>Moderado</v>
      </c>
      <c r="AE84" s="136">
        <f>+P82</f>
        <v>0.6</v>
      </c>
      <c r="AF84" s="137" t="str">
        <f t="shared" si="122"/>
        <v>Moderado</v>
      </c>
      <c r="AG84" s="138" t="s">
        <v>122</v>
      </c>
      <c r="AH84" s="119" t="s">
        <v>564</v>
      </c>
      <c r="AI84" s="127" t="s">
        <v>399</v>
      </c>
      <c r="AJ84" s="156">
        <v>44562</v>
      </c>
      <c r="AK84" s="157" t="s">
        <v>373</v>
      </c>
      <c r="AL84" s="119" t="s">
        <v>451</v>
      </c>
      <c r="AM84" s="140"/>
    </row>
    <row r="85" spans="1:39" s="164" customFormat="1" ht="151.5" customHeight="1" x14ac:dyDescent="0.35">
      <c r="A85" s="394">
        <v>27</v>
      </c>
      <c r="B85" s="322" t="s">
        <v>292</v>
      </c>
      <c r="C85" s="390" t="s">
        <v>357</v>
      </c>
      <c r="D85" s="390" t="s">
        <v>398</v>
      </c>
      <c r="E85" s="377" t="s">
        <v>118</v>
      </c>
      <c r="F85" s="377" t="s">
        <v>452</v>
      </c>
      <c r="G85" s="377" t="s">
        <v>453</v>
      </c>
      <c r="H85" s="379" t="s">
        <v>454</v>
      </c>
      <c r="I85" s="377" t="s">
        <v>328</v>
      </c>
      <c r="J85" s="375">
        <v>10</v>
      </c>
      <c r="K85" s="372" t="str">
        <f>IF(J85&lt;=0,"",IF(J85&lt;=2,"Muy Baja",IF(J85&lt;=24,"Baja",IF(J85&lt;=500,"Media",IF(J85&lt;=5000,"Alta","Muy Alta")))))</f>
        <v>Baja</v>
      </c>
      <c r="L85" s="385">
        <f>IF(K85="","",IF(K85="Muy Baja",0.2,IF(K85="Baja",0.4,IF(K85="Media",0.6,IF(K85="Alta",0.8,IF(K85="Muy Alta",1,))))))</f>
        <v>0.4</v>
      </c>
      <c r="M85" s="388" t="s">
        <v>486</v>
      </c>
      <c r="N85" s="129" t="str">
        <f>IF(NOT(ISERROR(MATCH(M85,'Tabla Impacto'!$B$221:$B$223,0))),'Tabla Impacto'!$F$223&amp;"Por favor no seleccionar los criterios de impacto(Afectación Económica o presupuestal y Pérdida Reputacional)",M85)</f>
        <v xml:space="preserve"> El riesgo afecta la imagen de la entidad con algunos usuarios de relevancia frente al logro de los objetivos</v>
      </c>
      <c r="O85" s="372" t="str">
        <f>IF(OR(N85='Tabla Impacto'!$C$11,N85='Tabla Impacto'!$D$11),"Leve",IF(OR(N85='Tabla Impacto'!$C$12,N85='Tabla Impacto'!$D$12),"Menor",IF(OR(N85='Tabla Impacto'!$C$13,N85='Tabla Impacto'!$D$13),"Moderado",IF(OR(N85='Tabla Impacto'!$C$14,N85='Tabla Impacto'!$D$14),"Mayor",IF(OR(N85='Tabla Impacto'!$C$15,N85='Tabla Impacto'!$D$15),"Catastrófico","")))))</f>
        <v>Moderado</v>
      </c>
      <c r="P85" s="385">
        <f>IF(O85="","",IF(O85="Leve",0.2,IF(O85="Menor",0.4,IF(O85="Moderado",0.6,IF(O85="Mayor",0.8,IF(O85="Catastrófico",1,))))))</f>
        <v>0.6</v>
      </c>
      <c r="Q85" s="382" t="str">
        <f>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Moderado</v>
      </c>
      <c r="R85" s="130">
        <v>1</v>
      </c>
      <c r="S85" s="119" t="s">
        <v>459</v>
      </c>
      <c r="T85" s="159" t="str">
        <f t="shared" si="117"/>
        <v>Probabilidad</v>
      </c>
      <c r="U85" s="147" t="s">
        <v>15</v>
      </c>
      <c r="V85" s="147" t="s">
        <v>9</v>
      </c>
      <c r="W85" s="148" t="str">
        <f t="shared" si="118"/>
        <v>30%</v>
      </c>
      <c r="X85" s="147" t="s">
        <v>20</v>
      </c>
      <c r="Y85" s="147" t="s">
        <v>23</v>
      </c>
      <c r="Z85" s="147" t="s">
        <v>111</v>
      </c>
      <c r="AA85" s="149">
        <f t="shared" ref="AA85" si="123">IFERROR(IF(T85="Probabilidad",(L85-(+L85*W85)),IF(T85="Impacto",L85,"")),"")</f>
        <v>0.28000000000000003</v>
      </c>
      <c r="AB85" s="135" t="str">
        <f t="shared" si="119"/>
        <v>Baja</v>
      </c>
      <c r="AC85" s="150">
        <f t="shared" si="120"/>
        <v>0.28000000000000003</v>
      </c>
      <c r="AD85" s="135" t="str">
        <f t="shared" si="121"/>
        <v>Moderado</v>
      </c>
      <c r="AE85" s="150">
        <f t="shared" ref="AE85" si="124">IFERROR(IF(T85="Impacto",(P85-(+P85*W85)),IF(T85="Probabilidad",P85,"")),"")</f>
        <v>0.6</v>
      </c>
      <c r="AF85" s="151" t="str">
        <f t="shared" si="122"/>
        <v>Moderado</v>
      </c>
      <c r="AG85" s="152" t="s">
        <v>122</v>
      </c>
      <c r="AH85" s="119" t="s">
        <v>566</v>
      </c>
      <c r="AI85" s="127" t="s">
        <v>198</v>
      </c>
      <c r="AJ85" s="156">
        <v>44562</v>
      </c>
      <c r="AK85" s="157" t="s">
        <v>373</v>
      </c>
      <c r="AL85" s="119" t="s">
        <v>455</v>
      </c>
      <c r="AM85" s="140"/>
    </row>
    <row r="86" spans="1:39" s="164" customFormat="1" ht="151.5" customHeight="1" x14ac:dyDescent="0.35">
      <c r="A86" s="394"/>
      <c r="B86" s="323"/>
      <c r="C86" s="393"/>
      <c r="D86" s="393"/>
      <c r="E86" s="378"/>
      <c r="F86" s="378"/>
      <c r="G86" s="378"/>
      <c r="H86" s="380"/>
      <c r="I86" s="378"/>
      <c r="J86" s="376"/>
      <c r="K86" s="373"/>
      <c r="L86" s="386"/>
      <c r="M86" s="389"/>
      <c r="N86" s="142"/>
      <c r="O86" s="373"/>
      <c r="P86" s="386"/>
      <c r="Q86" s="383"/>
      <c r="R86" s="160">
        <v>2</v>
      </c>
      <c r="S86" s="119"/>
      <c r="T86" s="159"/>
      <c r="U86" s="147"/>
      <c r="V86" s="147"/>
      <c r="W86" s="148"/>
      <c r="X86" s="147"/>
      <c r="Y86" s="147"/>
      <c r="Z86" s="147"/>
      <c r="AA86" s="149"/>
      <c r="AB86" s="135"/>
      <c r="AC86" s="150"/>
      <c r="AD86" s="135"/>
      <c r="AE86" s="150"/>
      <c r="AF86" s="151"/>
      <c r="AG86" s="152"/>
      <c r="AH86" s="119"/>
      <c r="AI86" s="127"/>
      <c r="AJ86" s="156"/>
      <c r="AK86" s="157"/>
      <c r="AL86" s="119"/>
      <c r="AM86" s="140"/>
    </row>
    <row r="87" spans="1:39" s="164" customFormat="1" ht="151.5" customHeight="1" x14ac:dyDescent="0.35">
      <c r="A87" s="394"/>
      <c r="B87" s="324"/>
      <c r="C87" s="393"/>
      <c r="D87" s="393"/>
      <c r="E87" s="378"/>
      <c r="F87" s="378"/>
      <c r="G87" s="378"/>
      <c r="H87" s="380"/>
      <c r="I87" s="378"/>
      <c r="J87" s="376"/>
      <c r="K87" s="374"/>
      <c r="L87" s="387"/>
      <c r="M87" s="389"/>
      <c r="N87" s="142"/>
      <c r="O87" s="374"/>
      <c r="P87" s="387"/>
      <c r="Q87" s="384"/>
      <c r="R87" s="160">
        <v>3</v>
      </c>
      <c r="S87" s="119"/>
      <c r="T87" s="159"/>
      <c r="U87" s="147"/>
      <c r="V87" s="147"/>
      <c r="W87" s="148"/>
      <c r="X87" s="147"/>
      <c r="Y87" s="147"/>
      <c r="Z87" s="147"/>
      <c r="AA87" s="149"/>
      <c r="AB87" s="135"/>
      <c r="AC87" s="150"/>
      <c r="AD87" s="135"/>
      <c r="AE87" s="150"/>
      <c r="AF87" s="151"/>
      <c r="AG87" s="152"/>
      <c r="AH87" s="119"/>
      <c r="AI87" s="127"/>
      <c r="AJ87" s="156"/>
      <c r="AK87" s="157"/>
      <c r="AL87" s="119"/>
      <c r="AM87" s="140"/>
    </row>
    <row r="88" spans="1:39" s="164" customFormat="1" ht="151.5" customHeight="1" x14ac:dyDescent="0.35">
      <c r="A88" s="394">
        <v>28</v>
      </c>
      <c r="B88" s="369" t="s">
        <v>296</v>
      </c>
      <c r="C88" s="390" t="s">
        <v>295</v>
      </c>
      <c r="D88" s="390" t="s">
        <v>297</v>
      </c>
      <c r="E88" s="377" t="s">
        <v>118</v>
      </c>
      <c r="F88" s="377" t="s">
        <v>298</v>
      </c>
      <c r="G88" s="377" t="s">
        <v>456</v>
      </c>
      <c r="H88" s="379" t="s">
        <v>299</v>
      </c>
      <c r="I88" s="377" t="s">
        <v>115</v>
      </c>
      <c r="J88" s="375">
        <v>355</v>
      </c>
      <c r="K88" s="372" t="str">
        <f>IF(J88&lt;=0,"",IF(J88&lt;=2,"Muy Baja",IF(J88&lt;=24,"Baja",IF(J88&lt;=500,"Media",IF(J88&lt;=5000,"Alta","Muy Alta")))))</f>
        <v>Media</v>
      </c>
      <c r="L88" s="385">
        <f>IF(K88="","",IF(K88="Muy Baja",0.2,IF(K88="Baja",0.4,IF(K88="Media",0.6,IF(K88="Alta",0.8,IF(K88="Muy Alta",1,))))))</f>
        <v>0.6</v>
      </c>
      <c r="M88" s="388" t="s">
        <v>493</v>
      </c>
      <c r="N88" s="129" t="str">
        <f>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372" t="str">
        <f>IF(OR(N88='Tabla Impacto'!$C$11,N88='Tabla Impacto'!$D$11),"Leve",IF(OR(N88='Tabla Impacto'!$C$12,N88='Tabla Impacto'!$D$12),"Menor",IF(OR(N88='Tabla Impacto'!$C$13,N88='Tabla Impacto'!$D$13),"Moderado",IF(OR(N88='Tabla Impacto'!$C$14,N88='Tabla Impacto'!$D$14),"Mayor",IF(OR(N88='Tabla Impacto'!$C$15,N88='Tabla Impacto'!$D$15),"Catastrófico","")))))</f>
        <v>Mayor</v>
      </c>
      <c r="P88" s="385">
        <f>IF(O88="","",IF(O88="Leve",0.2,IF(O88="Menor",0.4,IF(O88="Moderado",0.6,IF(O88="Mayor",0.8,IF(O88="Catastrófico",1,))))))</f>
        <v>0.8</v>
      </c>
      <c r="Q88" s="382" t="str">
        <f>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130">
        <v>1</v>
      </c>
      <c r="S88" s="98" t="s">
        <v>457</v>
      </c>
      <c r="T88" s="131" t="str">
        <f t="shared" si="25"/>
        <v>Probabilidad</v>
      </c>
      <c r="U88" s="132" t="s">
        <v>14</v>
      </c>
      <c r="V88" s="132" t="s">
        <v>9</v>
      </c>
      <c r="W88" s="133" t="str">
        <f t="shared" si="26"/>
        <v>40%</v>
      </c>
      <c r="X88" s="132" t="s">
        <v>20</v>
      </c>
      <c r="Y88" s="132" t="s">
        <v>22</v>
      </c>
      <c r="Z88" s="132" t="s">
        <v>110</v>
      </c>
      <c r="AA88" s="134">
        <f t="shared" si="27"/>
        <v>0.36</v>
      </c>
      <c r="AB88" s="135" t="str">
        <f t="shared" si="28"/>
        <v>Baja</v>
      </c>
      <c r="AC88" s="136">
        <f t="shared" si="29"/>
        <v>0.36</v>
      </c>
      <c r="AD88" s="135" t="str">
        <f t="shared" si="30"/>
        <v>Mayor</v>
      </c>
      <c r="AE88" s="136">
        <f t="shared" si="31"/>
        <v>0.8</v>
      </c>
      <c r="AF88" s="137" t="str">
        <f t="shared" si="32"/>
        <v>Alto</v>
      </c>
      <c r="AG88" s="138" t="s">
        <v>122</v>
      </c>
      <c r="AH88" s="119" t="s">
        <v>458</v>
      </c>
      <c r="AI88" s="127" t="s">
        <v>260</v>
      </c>
      <c r="AJ88" s="143" t="s">
        <v>199</v>
      </c>
      <c r="AK88" s="143" t="s">
        <v>199</v>
      </c>
      <c r="AL88" s="126" t="s">
        <v>300</v>
      </c>
      <c r="AM88" s="140"/>
    </row>
    <row r="89" spans="1:39" s="164" customFormat="1" ht="151.5" customHeight="1" x14ac:dyDescent="0.35">
      <c r="A89" s="394"/>
      <c r="B89" s="370"/>
      <c r="C89" s="391"/>
      <c r="D89" s="391"/>
      <c r="E89" s="378"/>
      <c r="F89" s="378"/>
      <c r="G89" s="378"/>
      <c r="H89" s="380"/>
      <c r="I89" s="378"/>
      <c r="J89" s="376"/>
      <c r="K89" s="373"/>
      <c r="L89" s="386"/>
      <c r="M89" s="389"/>
      <c r="N89" s="142"/>
      <c r="O89" s="373"/>
      <c r="P89" s="386"/>
      <c r="Q89" s="383"/>
      <c r="R89" s="130">
        <v>2</v>
      </c>
      <c r="S89" s="98"/>
      <c r="T89" s="131" t="str">
        <f t="shared" ref="T89:T90" si="125">IF(OR(U89="Preventivo",U89="Detectivo"),"Probabilidad",IF(U89="Correctivo","Impacto",""))</f>
        <v/>
      </c>
      <c r="U89" s="132"/>
      <c r="V89" s="132"/>
      <c r="W89" s="133"/>
      <c r="X89" s="132"/>
      <c r="Y89" s="132"/>
      <c r="Z89" s="132"/>
      <c r="AA89" s="134" t="str">
        <f>IFERROR(IF(T89="Probabilidad",(AA88-(+AA88*W89)),IF(T89="Impacto",L89,"")),"")</f>
        <v/>
      </c>
      <c r="AB89" s="135" t="str">
        <f t="shared" ref="AB89:AB90" si="126">IFERROR(IF(AA89="","",IF(AA89&lt;=0.2,"Muy Baja",IF(AA89&lt;=0.4,"Baja",IF(AA89&lt;=0.6,"Media",IF(AA89&lt;=0.8,"Alta","Muy Alta"))))),"")</f>
        <v/>
      </c>
      <c r="AC89" s="136" t="str">
        <f t="shared" ref="AC89:AC90" si="127">+AA89</f>
        <v/>
      </c>
      <c r="AD89" s="135" t="str">
        <f t="shared" ref="AD89:AD90" si="128">IFERROR(IF(AE89="","",IF(AE89&lt;=0.2,"Leve",IF(AE89&lt;=0.4,"Menor",IF(AE89&lt;=0.6,"Moderado",IF(AE89&lt;=0.8,"Mayor","Catastrófico"))))),"")</f>
        <v/>
      </c>
      <c r="AE89" s="136" t="str">
        <f t="shared" ref="AE89:AE90" si="129">IFERROR(IF(T89="Impacto",(P89-(+P89*W89)),IF(T89="Probabilidad",P89,"")),"")</f>
        <v/>
      </c>
      <c r="AF89" s="137" t="str">
        <f t="shared" ref="AF89:AF90" si="130">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
      </c>
      <c r="AG89" s="138"/>
      <c r="AH89" s="119"/>
      <c r="AI89" s="127"/>
      <c r="AJ89" s="143"/>
      <c r="AK89" s="143"/>
      <c r="AL89" s="119"/>
      <c r="AM89" s="140"/>
    </row>
    <row r="90" spans="1:39" s="164" customFormat="1" ht="151.5" customHeight="1" x14ac:dyDescent="0.35">
      <c r="A90" s="394"/>
      <c r="B90" s="371"/>
      <c r="C90" s="392"/>
      <c r="D90" s="391"/>
      <c r="E90" s="378"/>
      <c r="F90" s="378"/>
      <c r="G90" s="378"/>
      <c r="H90" s="380"/>
      <c r="I90" s="378"/>
      <c r="J90" s="376"/>
      <c r="K90" s="374"/>
      <c r="L90" s="387"/>
      <c r="M90" s="389"/>
      <c r="N90" s="142"/>
      <c r="O90" s="374"/>
      <c r="P90" s="387"/>
      <c r="Q90" s="384"/>
      <c r="R90" s="130">
        <v>3</v>
      </c>
      <c r="S90" s="98"/>
      <c r="T90" s="131" t="str">
        <f t="shared" si="125"/>
        <v/>
      </c>
      <c r="U90" s="132"/>
      <c r="V90" s="132"/>
      <c r="W90" s="133"/>
      <c r="X90" s="132"/>
      <c r="Y90" s="132"/>
      <c r="Z90" s="132"/>
      <c r="AA90" s="134" t="str">
        <f>IFERROR(IF(T90="Probabilidad",(AA89-(+AA89*W90)),IF(T90="Impacto",L90,"")),"")</f>
        <v/>
      </c>
      <c r="AB90" s="135" t="str">
        <f t="shared" si="126"/>
        <v/>
      </c>
      <c r="AC90" s="136" t="str">
        <f t="shared" si="127"/>
        <v/>
      </c>
      <c r="AD90" s="135" t="str">
        <f t="shared" si="128"/>
        <v/>
      </c>
      <c r="AE90" s="136" t="str">
        <f t="shared" si="129"/>
        <v/>
      </c>
      <c r="AF90" s="137" t="str">
        <f t="shared" si="130"/>
        <v/>
      </c>
      <c r="AG90" s="138"/>
      <c r="AH90" s="119"/>
      <c r="AI90" s="127"/>
      <c r="AJ90" s="143"/>
      <c r="AK90" s="143"/>
      <c r="AL90" s="119"/>
      <c r="AM90" s="140"/>
    </row>
    <row r="91" spans="1:39" s="164" customFormat="1" ht="176.5" customHeight="1" x14ac:dyDescent="0.35">
      <c r="A91" s="394">
        <v>29</v>
      </c>
      <c r="B91" s="369" t="s">
        <v>296</v>
      </c>
      <c r="C91" s="390" t="s">
        <v>295</v>
      </c>
      <c r="D91" s="390" t="s">
        <v>297</v>
      </c>
      <c r="E91" s="377" t="s">
        <v>118</v>
      </c>
      <c r="F91" s="377" t="s">
        <v>460</v>
      </c>
      <c r="G91" s="377" t="s">
        <v>461</v>
      </c>
      <c r="H91" s="379" t="s">
        <v>497</v>
      </c>
      <c r="I91" s="377" t="s">
        <v>328</v>
      </c>
      <c r="J91" s="375">
        <v>355</v>
      </c>
      <c r="K91" s="372" t="str">
        <f>IF(J91&lt;=0,"",IF(J91&lt;=2,"Muy Baja",IF(J91&lt;=24,"Baja",IF(J91&lt;=500,"Media",IF(J91&lt;=5000,"Alta","Muy Alta")))))</f>
        <v>Media</v>
      </c>
      <c r="L91" s="385">
        <f>IF(K91="","",IF(K91="Muy Baja",0.2,IF(K91="Baja",0.4,IF(K91="Media",0.6,IF(K91="Alta",0.8,IF(K91="Muy Alta",1,))))))</f>
        <v>0.6</v>
      </c>
      <c r="M91" s="388" t="s">
        <v>493</v>
      </c>
      <c r="N91" s="129" t="str">
        <f>IF(NOT(ISERROR(MATCH(M91,'Tabla Impacto'!$B$221:$B$223,0))),'Tabla Impacto'!$F$223&amp;"Por favor no seleccionar los criterios de impacto(Afectación Económica o presupuestal y Pérdida Reputacional)",M91)</f>
        <v xml:space="preserve"> El riesgo afecta la imagen de la entidad con efecto publicitario sostenido a nivel de sector administrativo, nivel departamental o municipal</v>
      </c>
      <c r="O91" s="372" t="str">
        <f>IF(OR(N91='Tabla Impacto'!$C$11,N91='Tabla Impacto'!$D$11),"Leve",IF(OR(N91='Tabla Impacto'!$C$12,N91='Tabla Impacto'!$D$12),"Menor",IF(OR(N91='Tabla Impacto'!$C$13,N91='Tabla Impacto'!$D$13),"Moderado",IF(OR(N91='Tabla Impacto'!$C$14,N91='Tabla Impacto'!$D$14),"Mayor",IF(OR(N91='Tabla Impacto'!$C$15,N91='Tabla Impacto'!$D$15),"Catastrófico","")))))</f>
        <v>Mayor</v>
      </c>
      <c r="P91" s="385">
        <f>IF(O91="","",IF(O91="Leve",0.2,IF(O91="Menor",0.4,IF(O91="Moderado",0.6,IF(O91="Mayor",0.8,IF(O91="Catastrófico",1,))))))</f>
        <v>0.8</v>
      </c>
      <c r="Q91" s="382" t="str">
        <f>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Alto</v>
      </c>
      <c r="R91" s="130">
        <v>1</v>
      </c>
      <c r="S91" s="98" t="s">
        <v>462</v>
      </c>
      <c r="T91" s="131" t="str">
        <f t="shared" si="25"/>
        <v>Probabilidad</v>
      </c>
      <c r="U91" s="132" t="s">
        <v>14</v>
      </c>
      <c r="V91" s="132" t="s">
        <v>9</v>
      </c>
      <c r="W91" s="133" t="str">
        <f t="shared" si="26"/>
        <v>40%</v>
      </c>
      <c r="X91" s="132" t="s">
        <v>19</v>
      </c>
      <c r="Y91" s="132" t="s">
        <v>22</v>
      </c>
      <c r="Z91" s="132" t="s">
        <v>110</v>
      </c>
      <c r="AA91" s="161">
        <f t="shared" ref="AA91" si="131">IFERROR(IF(T91="Probabilidad",(L91-(+L91*W91)),IF(T91="Impacto",L91,"")),"")</f>
        <v>0.36</v>
      </c>
      <c r="AB91" s="135" t="str">
        <f t="shared" si="28"/>
        <v>Baja</v>
      </c>
      <c r="AC91" s="136">
        <f t="shared" si="29"/>
        <v>0.36</v>
      </c>
      <c r="AD91" s="135" t="str">
        <f t="shared" si="30"/>
        <v>Mayor</v>
      </c>
      <c r="AE91" s="136">
        <f t="shared" si="31"/>
        <v>0.8</v>
      </c>
      <c r="AF91" s="137" t="str">
        <f t="shared" si="32"/>
        <v>Alto</v>
      </c>
      <c r="AG91" s="138" t="s">
        <v>122</v>
      </c>
      <c r="AH91" s="119" t="s">
        <v>301</v>
      </c>
      <c r="AI91" s="121" t="s">
        <v>260</v>
      </c>
      <c r="AJ91" s="128" t="s">
        <v>199</v>
      </c>
      <c r="AK91" s="128" t="s">
        <v>199</v>
      </c>
      <c r="AL91" s="126" t="s">
        <v>400</v>
      </c>
      <c r="AM91" s="140"/>
    </row>
    <row r="92" spans="1:39" s="164" customFormat="1" ht="151.5" customHeight="1" x14ac:dyDescent="0.35">
      <c r="A92" s="394"/>
      <c r="B92" s="370"/>
      <c r="C92" s="391"/>
      <c r="D92" s="391"/>
      <c r="E92" s="378"/>
      <c r="F92" s="378"/>
      <c r="G92" s="378"/>
      <c r="H92" s="380"/>
      <c r="I92" s="378"/>
      <c r="J92" s="376"/>
      <c r="K92" s="373"/>
      <c r="L92" s="386"/>
      <c r="M92" s="389"/>
      <c r="N92" s="142"/>
      <c r="O92" s="373"/>
      <c r="P92" s="386"/>
      <c r="Q92" s="383"/>
      <c r="R92" s="130">
        <v>2</v>
      </c>
      <c r="S92" s="119" t="s">
        <v>343</v>
      </c>
      <c r="T92" s="159" t="str">
        <f t="shared" ref="T92:T93" si="132">IF(OR(U92="Preventivo",U92="Detectivo"),"Probabilidad",IF(U92="Correctivo","Impacto",""))</f>
        <v/>
      </c>
      <c r="U92" s="147" t="s">
        <v>332</v>
      </c>
      <c r="V92" s="147" t="s">
        <v>9</v>
      </c>
      <c r="W92" s="148" t="str">
        <f t="shared" ref="W92" si="133">IF(AND(U92="Preventivo",V92="Automático"),"50%",IF(AND(U92="Preventivo",V92="Manual"),"40%",IF(AND(U92="Detectivo",V92="Automático"),"40%",IF(AND(U92="Detectivo",V92="Manual"),"30%",IF(AND(U92="Correctivo",V92="Automático"),"35%",IF(AND(U92="Correctivo",V92="Manual"),"25%",""))))))</f>
        <v/>
      </c>
      <c r="X92" s="147" t="s">
        <v>20</v>
      </c>
      <c r="Y92" s="147" t="s">
        <v>22</v>
      </c>
      <c r="Z92" s="147" t="s">
        <v>110</v>
      </c>
      <c r="AA92" s="162" t="str">
        <f>IFERROR(IF(T92="Probabilidad",(AA91-(+AA91*W92)),IF(T92="Impacto",L92,"")),"")</f>
        <v/>
      </c>
      <c r="AB92" s="135" t="str">
        <f t="shared" ref="AB92:AB93" si="134">IFERROR(IF(AA92="","",IF(AA92&lt;=0.2,"Muy Baja",IF(AA92&lt;=0.4,"Baja",IF(AA92&lt;=0.6,"Media",IF(AA92&lt;=0.8,"Alta","Muy Alta"))))),"")</f>
        <v/>
      </c>
      <c r="AC92" s="150" t="str">
        <f t="shared" ref="AC92:AC93" si="135">+AA92</f>
        <v/>
      </c>
      <c r="AD92" s="135" t="str">
        <f t="shared" ref="AD92:AD93" si="136">IFERROR(IF(AE92="","",IF(AE92&lt;=0.2,"Leve",IF(AE92&lt;=0.4,"Menor",IF(AE92&lt;=0.6,"Moderado",IF(AE92&lt;=0.8,"Mayor","Catastrófico"))))),"")</f>
        <v/>
      </c>
      <c r="AE92" s="150" t="str">
        <f t="shared" ref="AE92:AE93" si="137">IFERROR(IF(T92="Impacto",(P92-(+P92*W92)),IF(T92="Probabilidad",P92,"")),"")</f>
        <v/>
      </c>
      <c r="AF92" s="151" t="str">
        <f t="shared" ref="AF92:AF93" si="138">IFERROR(IF(OR(AND(AB92="Muy Baja",AD92="Leve"),AND(AB92="Muy Baja",AD92="Menor"),AND(AB92="Baja",AD92="Leve")),"Bajo",IF(OR(AND(AB92="Muy baja",AD92="Moderado"),AND(AB92="Baja",AD92="Menor"),AND(AB92="Baja",AD92="Moderado"),AND(AB92="Media",AD92="Leve"),AND(AB92="Media",AD92="Menor"),AND(AB92="Media",AD92="Moderado"),AND(AB92="Alta",AD92="Leve"),AND(AB92="Alta",AD92="Menor")),"Moderado",IF(OR(AND(AB92="Muy Baja",AD92="Mayor"),AND(AB92="Baja",AD92="Mayor"),AND(AB92="Media",AD92="Mayor"),AND(AB92="Alta",AD92="Moderado"),AND(AB92="Alta",AD92="Mayor"),AND(AB92="Muy Alta",AD92="Leve"),AND(AB92="Muy Alta",AD92="Menor"),AND(AB92="Muy Alta",AD92="Moderado"),AND(AB92="Muy Alta",AD92="Mayor")),"Alto",IF(OR(AND(AB92="Muy Baja",AD92="Catastrófico"),AND(AB92="Baja",AD92="Catastrófico"),AND(AB92="Media",AD92="Catastrófico"),AND(AB92="Alta",AD92="Catastrófico"),AND(AB92="Muy Alta",AD92="Catastrófico")),"Extremo","")))),"")</f>
        <v/>
      </c>
      <c r="AG92" s="152" t="s">
        <v>122</v>
      </c>
      <c r="AH92" s="119" t="s">
        <v>301</v>
      </c>
      <c r="AI92" s="121" t="s">
        <v>260</v>
      </c>
      <c r="AJ92" s="128" t="s">
        <v>199</v>
      </c>
      <c r="AK92" s="128" t="s">
        <v>199</v>
      </c>
      <c r="AL92" s="126" t="s">
        <v>400</v>
      </c>
      <c r="AM92" s="140"/>
    </row>
    <row r="93" spans="1:39" s="164" customFormat="1" ht="151.5" customHeight="1" x14ac:dyDescent="0.35">
      <c r="A93" s="394"/>
      <c r="B93" s="371"/>
      <c r="C93" s="392"/>
      <c r="D93" s="391"/>
      <c r="E93" s="378"/>
      <c r="F93" s="378"/>
      <c r="G93" s="378"/>
      <c r="H93" s="380"/>
      <c r="I93" s="378"/>
      <c r="J93" s="376"/>
      <c r="K93" s="374"/>
      <c r="L93" s="387"/>
      <c r="M93" s="389"/>
      <c r="N93" s="142"/>
      <c r="O93" s="374"/>
      <c r="P93" s="387"/>
      <c r="Q93" s="384"/>
      <c r="R93" s="130">
        <v>3</v>
      </c>
      <c r="S93" s="98"/>
      <c r="T93" s="131" t="str">
        <f t="shared" si="132"/>
        <v/>
      </c>
      <c r="U93" s="132"/>
      <c r="V93" s="132"/>
      <c r="W93" s="133"/>
      <c r="X93" s="132"/>
      <c r="Y93" s="132"/>
      <c r="Z93" s="132"/>
      <c r="AA93" s="134" t="str">
        <f>IFERROR(IF(T93="Probabilidad",(AA92-(+AA92*W93)),IF(T93="Impacto",L93,"")),"")</f>
        <v/>
      </c>
      <c r="AB93" s="135" t="str">
        <f t="shared" si="134"/>
        <v/>
      </c>
      <c r="AC93" s="136" t="str">
        <f t="shared" si="135"/>
        <v/>
      </c>
      <c r="AD93" s="135" t="str">
        <f t="shared" si="136"/>
        <v/>
      </c>
      <c r="AE93" s="136" t="str">
        <f t="shared" si="137"/>
        <v/>
      </c>
      <c r="AF93" s="137" t="str">
        <f t="shared" si="138"/>
        <v/>
      </c>
      <c r="AG93" s="138"/>
      <c r="AH93" s="119"/>
      <c r="AI93" s="127"/>
      <c r="AJ93" s="143"/>
      <c r="AK93" s="143"/>
      <c r="AL93" s="119"/>
      <c r="AM93" s="140"/>
    </row>
    <row r="94" spans="1:39" s="164" customFormat="1" ht="151.5" customHeight="1" x14ac:dyDescent="0.35">
      <c r="A94" s="394">
        <v>30</v>
      </c>
      <c r="B94" s="369" t="s">
        <v>302</v>
      </c>
      <c r="C94" s="390" t="s">
        <v>358</v>
      </c>
      <c r="D94" s="390" t="s">
        <v>401</v>
      </c>
      <c r="E94" s="377" t="s">
        <v>120</v>
      </c>
      <c r="F94" s="381" t="s">
        <v>464</v>
      </c>
      <c r="G94" s="381" t="s">
        <v>463</v>
      </c>
      <c r="H94" s="379" t="s">
        <v>303</v>
      </c>
      <c r="I94" s="377" t="s">
        <v>328</v>
      </c>
      <c r="J94" s="375">
        <v>850</v>
      </c>
      <c r="K94" s="372" t="str">
        <f>IF(J94&lt;=0,"",IF(J94&lt;=2,"Muy Baja",IF(J94&lt;=24,"Baja",IF(J94&lt;=500,"Media",IF(J94&lt;=5000,"Alta","Muy Alta")))))</f>
        <v>Alta</v>
      </c>
      <c r="L94" s="385">
        <f>IF(K94="","",IF(K94="Muy Baja",0.2,IF(K94="Baja",0.4,IF(K94="Media",0.6,IF(K94="Alta",0.8,IF(K94="Muy Alta",1,))))))</f>
        <v>0.8</v>
      </c>
      <c r="M94" s="388" t="s">
        <v>493</v>
      </c>
      <c r="N94" s="129" t="str">
        <f>IF(NOT(ISERROR(MATCH(M94,'Tabla Impacto'!$B$221:$B$223,0))),'Tabla Impacto'!$F$223&amp;"Por favor no seleccionar los criterios de impacto(Afectación Económica o presupuestal y Pérdida Reputacional)",M94)</f>
        <v xml:space="preserve"> El riesgo afecta la imagen de la entidad con efecto publicitario sostenido a nivel de sector administrativo, nivel departamental o municipal</v>
      </c>
      <c r="O94" s="372" t="str">
        <f>IF(OR(N94='Tabla Impacto'!$C$11,N94='Tabla Impacto'!$D$11),"Leve",IF(OR(N94='Tabla Impacto'!$C$12,N94='Tabla Impacto'!$D$12),"Menor",IF(OR(N94='Tabla Impacto'!$C$13,N94='Tabla Impacto'!$D$13),"Moderado",IF(OR(N94='Tabla Impacto'!$C$14,N94='Tabla Impacto'!$D$14),"Mayor",IF(OR(N94='Tabla Impacto'!$C$15,N94='Tabla Impacto'!$D$15),"Catastrófico","")))))</f>
        <v>Mayor</v>
      </c>
      <c r="P94" s="385">
        <f>IF(O94="","",IF(O94="Leve",0.2,IF(O94="Menor",0.4,IF(O94="Moderado",0.6,IF(O94="Mayor",0.8,IF(O94="Catastrófico",1,))))))</f>
        <v>0.8</v>
      </c>
      <c r="Q94" s="382" t="str">
        <f>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Alto</v>
      </c>
      <c r="R94" s="130">
        <v>1</v>
      </c>
      <c r="S94" s="98" t="s">
        <v>304</v>
      </c>
      <c r="T94" s="131" t="str">
        <f t="shared" ref="T94:T96" si="139">IF(OR(U94="Preventivo",U94="Detectivo"),"Probabilidad",IF(U94="Correctivo","Impacto",""))</f>
        <v>Probabilidad</v>
      </c>
      <c r="U94" s="132" t="s">
        <v>14</v>
      </c>
      <c r="V94" s="132" t="s">
        <v>9</v>
      </c>
      <c r="W94" s="133" t="str">
        <f t="shared" ref="W94:W95" si="140">IF(AND(U94="Preventivo",V94="Automático"),"50%",IF(AND(U94="Preventivo",V94="Manual"),"40%",IF(AND(U94="Detectivo",V94="Automático"),"40%",IF(AND(U94="Detectivo",V94="Manual"),"30%",IF(AND(U94="Correctivo",V94="Automático"),"35%",IF(AND(U94="Correctivo",V94="Manual"),"25%",""))))))</f>
        <v>40%</v>
      </c>
      <c r="X94" s="132" t="s">
        <v>20</v>
      </c>
      <c r="Y94" s="132" t="s">
        <v>22</v>
      </c>
      <c r="Z94" s="132" t="s">
        <v>110</v>
      </c>
      <c r="AA94" s="134">
        <f t="shared" ref="AA94" si="141">IFERROR(IF(T94="Probabilidad",(L94-(+L94*W94)),IF(T94="Impacto",L94,"")),"")</f>
        <v>0.48</v>
      </c>
      <c r="AB94" s="135" t="str">
        <f t="shared" ref="AB94:AB96" si="142">IFERROR(IF(AA94="","",IF(AA94&lt;=0.2,"Muy Baja",IF(AA94&lt;=0.4,"Baja",IF(AA94&lt;=0.6,"Media",IF(AA94&lt;=0.8,"Alta","Muy Alta"))))),"")</f>
        <v>Media</v>
      </c>
      <c r="AC94" s="136">
        <f t="shared" ref="AC94:AC96" si="143">+AA94</f>
        <v>0.48</v>
      </c>
      <c r="AD94" s="135" t="str">
        <f t="shared" ref="AD94:AD96" si="144">IFERROR(IF(AE94="","",IF(AE94&lt;=0.2,"Leve",IF(AE94&lt;=0.4,"Menor",IF(AE94&lt;=0.6,"Moderado",IF(AE94&lt;=0.8,"Mayor","Catastrófico"))))),"")</f>
        <v>Mayor</v>
      </c>
      <c r="AE94" s="136">
        <f t="shared" ref="AE94:AE96" si="145">IFERROR(IF(T94="Impacto",(P94-(+P94*W94)),IF(T94="Probabilidad",P94,"")),"")</f>
        <v>0.8</v>
      </c>
      <c r="AF94" s="137" t="str">
        <f t="shared" ref="AF94:AF96" si="146">IFERROR(IF(OR(AND(AB94="Muy Baja",AD94="Leve"),AND(AB94="Muy Baja",AD94="Menor"),AND(AB94="Baja",AD94="Leve")),"Bajo",IF(OR(AND(AB94="Muy baja",AD94="Moderado"),AND(AB94="Baja",AD94="Menor"),AND(AB94="Baja",AD94="Moderado"),AND(AB94="Media",AD94="Leve"),AND(AB94="Media",AD94="Menor"),AND(AB94="Media",AD94="Moderado"),AND(AB94="Alta",AD94="Leve"),AND(AB94="Alta",AD94="Menor")),"Moderado",IF(OR(AND(AB94="Muy Baja",AD94="Mayor"),AND(AB94="Baja",AD94="Mayor"),AND(AB94="Media",AD94="Mayor"),AND(AB94="Alta",AD94="Moderado"),AND(AB94="Alta",AD94="Mayor"),AND(AB94="Muy Alta",AD94="Leve"),AND(AB94="Muy Alta",AD94="Menor"),AND(AB94="Muy Alta",AD94="Moderado"),AND(AB94="Muy Alta",AD94="Mayor")),"Alto",IF(OR(AND(AB94="Muy Baja",AD94="Catastrófico"),AND(AB94="Baja",AD94="Catastrófico"),AND(AB94="Media",AD94="Catastrófico"),AND(AB94="Alta",AD94="Catastrófico"),AND(AB94="Muy Alta",AD94="Catastrófico")),"Extremo","")))),"")</f>
        <v>Alto</v>
      </c>
      <c r="AG94" s="138" t="s">
        <v>122</v>
      </c>
      <c r="AH94" s="163" t="s">
        <v>306</v>
      </c>
      <c r="AI94" s="127" t="s">
        <v>198</v>
      </c>
      <c r="AJ94" s="128">
        <v>44562</v>
      </c>
      <c r="AK94" s="128" t="s">
        <v>373</v>
      </c>
      <c r="AL94" s="119" t="s">
        <v>307</v>
      </c>
      <c r="AM94" s="140"/>
    </row>
    <row r="95" spans="1:39" s="164" customFormat="1" ht="151.5" customHeight="1" x14ac:dyDescent="0.35">
      <c r="A95" s="394"/>
      <c r="B95" s="370"/>
      <c r="C95" s="391"/>
      <c r="D95" s="391"/>
      <c r="E95" s="378"/>
      <c r="F95" s="378"/>
      <c r="G95" s="378"/>
      <c r="H95" s="380"/>
      <c r="I95" s="378"/>
      <c r="J95" s="376"/>
      <c r="K95" s="373"/>
      <c r="L95" s="386"/>
      <c r="M95" s="389"/>
      <c r="N95" s="142"/>
      <c r="O95" s="373"/>
      <c r="P95" s="386"/>
      <c r="Q95" s="383"/>
      <c r="R95" s="130">
        <v>2</v>
      </c>
      <c r="S95" s="98" t="s">
        <v>305</v>
      </c>
      <c r="T95" s="131" t="str">
        <f t="shared" si="139"/>
        <v>Probabilidad</v>
      </c>
      <c r="U95" s="132" t="s">
        <v>14</v>
      </c>
      <c r="V95" s="132" t="s">
        <v>9</v>
      </c>
      <c r="W95" s="133" t="str">
        <f t="shared" si="140"/>
        <v>40%</v>
      </c>
      <c r="X95" s="132" t="s">
        <v>20</v>
      </c>
      <c r="Y95" s="132" t="s">
        <v>22</v>
      </c>
      <c r="Z95" s="132" t="s">
        <v>110</v>
      </c>
      <c r="AA95" s="134">
        <f>IFERROR(IF(T95="Probabilidad",(AA94-(+AA94*W95)),IF(T95="Impacto",L95,"")),"")</f>
        <v>0.28799999999999998</v>
      </c>
      <c r="AB95" s="135" t="str">
        <f t="shared" si="142"/>
        <v>Baja</v>
      </c>
      <c r="AC95" s="136">
        <f t="shared" si="143"/>
        <v>0.28799999999999998</v>
      </c>
      <c r="AD95" s="135" t="str">
        <f t="shared" si="144"/>
        <v>Mayor</v>
      </c>
      <c r="AE95" s="136">
        <v>0.8</v>
      </c>
      <c r="AF95" s="137" t="str">
        <f t="shared" si="146"/>
        <v>Alto</v>
      </c>
      <c r="AG95" s="138" t="s">
        <v>122</v>
      </c>
      <c r="AH95" s="126" t="s">
        <v>308</v>
      </c>
      <c r="AI95" s="121" t="s">
        <v>198</v>
      </c>
      <c r="AJ95" s="128">
        <v>44562</v>
      </c>
      <c r="AK95" s="128" t="s">
        <v>373</v>
      </c>
      <c r="AL95" s="126" t="s">
        <v>307</v>
      </c>
      <c r="AM95" s="140"/>
    </row>
    <row r="96" spans="1:39" s="164" customFormat="1" ht="151.5" customHeight="1" x14ac:dyDescent="0.35">
      <c r="A96" s="396"/>
      <c r="B96" s="371"/>
      <c r="C96" s="391"/>
      <c r="D96" s="391"/>
      <c r="E96" s="378"/>
      <c r="F96" s="378"/>
      <c r="G96" s="378"/>
      <c r="H96" s="380"/>
      <c r="I96" s="378"/>
      <c r="J96" s="376"/>
      <c r="K96" s="374"/>
      <c r="L96" s="387"/>
      <c r="M96" s="389"/>
      <c r="N96" s="142"/>
      <c r="O96" s="374"/>
      <c r="P96" s="387"/>
      <c r="Q96" s="384"/>
      <c r="R96" s="130">
        <v>3</v>
      </c>
      <c r="S96" s="98"/>
      <c r="T96" s="131" t="str">
        <f t="shared" si="139"/>
        <v/>
      </c>
      <c r="U96" s="132"/>
      <c r="V96" s="132"/>
      <c r="W96" s="133"/>
      <c r="X96" s="132"/>
      <c r="Y96" s="132"/>
      <c r="Z96" s="132"/>
      <c r="AA96" s="134" t="str">
        <f>IFERROR(IF(T96="Probabilidad",(AA95-(+AA95*W96)),IF(T96="Impacto",L96,"")),"")</f>
        <v/>
      </c>
      <c r="AB96" s="135" t="str">
        <f t="shared" si="142"/>
        <v/>
      </c>
      <c r="AC96" s="136" t="str">
        <f t="shared" si="143"/>
        <v/>
      </c>
      <c r="AD96" s="135" t="str">
        <f t="shared" si="144"/>
        <v/>
      </c>
      <c r="AE96" s="136" t="str">
        <f t="shared" si="145"/>
        <v/>
      </c>
      <c r="AF96" s="137" t="str">
        <f t="shared" si="146"/>
        <v/>
      </c>
      <c r="AG96" s="138"/>
      <c r="AH96" s="119"/>
      <c r="AI96" s="127"/>
      <c r="AJ96" s="143"/>
      <c r="AK96" s="143"/>
      <c r="AL96" s="119"/>
      <c r="AM96" s="140"/>
    </row>
    <row r="97" spans="1:39" s="164" customFormat="1" ht="151.5" customHeight="1" x14ac:dyDescent="0.35">
      <c r="A97" s="354">
        <v>31</v>
      </c>
      <c r="B97" s="322" t="s">
        <v>309</v>
      </c>
      <c r="C97" s="355" t="s">
        <v>359</v>
      </c>
      <c r="D97" s="355" t="s">
        <v>402</v>
      </c>
      <c r="E97" s="338" t="s">
        <v>118</v>
      </c>
      <c r="F97" s="357" t="s">
        <v>597</v>
      </c>
      <c r="G97" s="357" t="s">
        <v>472</v>
      </c>
      <c r="H97" s="341" t="s">
        <v>598</v>
      </c>
      <c r="I97" s="338" t="s">
        <v>328</v>
      </c>
      <c r="J97" s="335">
        <v>12</v>
      </c>
      <c r="K97" s="326" t="str">
        <f>IF(J97&lt;=0,"",IF(J97&lt;=2,"Muy Baja",IF(J97&lt;=24,"Baja",IF(J97&lt;=500,"Media",IF(J97&lt;=5000,"Alta","Muy Alta")))))</f>
        <v>Baja</v>
      </c>
      <c r="L97" s="329">
        <f>IF(K97="","",IF(K97="Muy Baja",0.2,IF(K97="Baja",0.4,IF(K97="Media",0.6,IF(K97="Alta",0.8,IF(K97="Muy Alta",1,))))))</f>
        <v>0.4</v>
      </c>
      <c r="M97" s="350" t="s">
        <v>486</v>
      </c>
      <c r="N97" s="178" t="str">
        <f>IF(NOT(ISERROR(MATCH(M97,'Tabla Impacto'!$B$221:$B$223,0))),'Tabla Impacto'!$F$223&amp;"Por favor no seleccionar los criterios de impacto(Afectación Económica o presupuestal y Pérdida Reputacional)",M97)</f>
        <v xml:space="preserve"> El riesgo afecta la imagen de la entidad con algunos usuarios de relevancia frente al logro de los objetivos</v>
      </c>
      <c r="O97" s="326" t="str">
        <f>IF(OR(N97='Tabla Impacto'!$C$11,N97='Tabla Impacto'!$D$11),"Leve",IF(OR(N97='Tabla Impacto'!$C$12,N97='Tabla Impacto'!$D$12),"Menor",IF(OR(N97='Tabla Impacto'!$C$13,N97='Tabla Impacto'!$D$13),"Moderado",IF(OR(N97='Tabla Impacto'!$C$14,N97='Tabla Impacto'!$D$14),"Mayor",IF(OR(N97='Tabla Impacto'!$C$15,N97='Tabla Impacto'!$D$15),"Catastrófico","")))))</f>
        <v>Moderado</v>
      </c>
      <c r="P97" s="329">
        <f>IF(O97="","",IF(O97="Leve",0.2,IF(O97="Menor",0.4,IF(O97="Moderado",0.6,IF(O97="Mayor",0.8,IF(O97="Catastrófico",1,))))))</f>
        <v>0.6</v>
      </c>
      <c r="Q97" s="332"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Moderado</v>
      </c>
      <c r="R97" s="179">
        <v>1</v>
      </c>
      <c r="S97" s="175" t="s">
        <v>590</v>
      </c>
      <c r="T97" s="176" t="str">
        <f t="shared" si="25"/>
        <v>Probabilidad</v>
      </c>
      <c r="U97" s="180" t="s">
        <v>14</v>
      </c>
      <c r="V97" s="180" t="s">
        <v>9</v>
      </c>
      <c r="W97" s="181" t="str">
        <f t="shared" si="26"/>
        <v>40%</v>
      </c>
      <c r="X97" s="180" t="s">
        <v>19</v>
      </c>
      <c r="Y97" s="180" t="s">
        <v>22</v>
      </c>
      <c r="Z97" s="180" t="s">
        <v>110</v>
      </c>
      <c r="AA97" s="155">
        <f t="shared" si="27"/>
        <v>0.24</v>
      </c>
      <c r="AB97" s="169" t="str">
        <f t="shared" si="28"/>
        <v>Baja</v>
      </c>
      <c r="AC97" s="170">
        <f t="shared" si="29"/>
        <v>0.24</v>
      </c>
      <c r="AD97" s="169" t="str">
        <f t="shared" si="30"/>
        <v>Moderado</v>
      </c>
      <c r="AE97" s="170">
        <f t="shared" si="31"/>
        <v>0.6</v>
      </c>
      <c r="AF97" s="171" t="str">
        <f t="shared" si="32"/>
        <v>Moderado</v>
      </c>
      <c r="AG97" s="172" t="s">
        <v>122</v>
      </c>
      <c r="AH97" s="192" t="s">
        <v>592</v>
      </c>
      <c r="AI97" s="165" t="s">
        <v>591</v>
      </c>
      <c r="AJ97" s="166" t="s">
        <v>286</v>
      </c>
      <c r="AK97" s="166" t="s">
        <v>287</v>
      </c>
      <c r="AL97" s="175" t="s">
        <v>599</v>
      </c>
      <c r="AM97" s="165"/>
    </row>
    <row r="98" spans="1:39" s="164" customFormat="1" ht="151.5" customHeight="1" x14ac:dyDescent="0.35">
      <c r="A98" s="325"/>
      <c r="B98" s="323"/>
      <c r="C98" s="356"/>
      <c r="D98" s="356"/>
      <c r="E98" s="339"/>
      <c r="F98" s="365"/>
      <c r="G98" s="365"/>
      <c r="H98" s="342"/>
      <c r="I98" s="339"/>
      <c r="J98" s="336"/>
      <c r="K98" s="327"/>
      <c r="L98" s="330"/>
      <c r="M98" s="351"/>
      <c r="N98" s="185"/>
      <c r="O98" s="327"/>
      <c r="P98" s="330"/>
      <c r="Q98" s="333"/>
      <c r="R98" s="179">
        <v>2</v>
      </c>
      <c r="S98" s="175"/>
      <c r="T98" s="176"/>
      <c r="U98" s="180"/>
      <c r="V98" s="180"/>
      <c r="W98" s="181"/>
      <c r="X98" s="180"/>
      <c r="Y98" s="180"/>
      <c r="Z98" s="180"/>
      <c r="AA98" s="155"/>
      <c r="AB98" s="169"/>
      <c r="AC98" s="170"/>
      <c r="AD98" s="169"/>
      <c r="AE98" s="170"/>
      <c r="AF98" s="171"/>
      <c r="AG98" s="172"/>
      <c r="AH98" s="192"/>
      <c r="AI98" s="193"/>
      <c r="AJ98" s="166"/>
      <c r="AK98" s="166"/>
      <c r="AL98" s="175"/>
      <c r="AM98" s="165"/>
    </row>
    <row r="99" spans="1:39" s="164" customFormat="1" ht="151.5" customHeight="1" x14ac:dyDescent="0.35">
      <c r="A99" s="325"/>
      <c r="B99" s="323"/>
      <c r="C99" s="363"/>
      <c r="D99" s="363"/>
      <c r="E99" s="339"/>
      <c r="F99" s="339"/>
      <c r="G99" s="339"/>
      <c r="H99" s="342"/>
      <c r="I99" s="339"/>
      <c r="J99" s="336"/>
      <c r="K99" s="327"/>
      <c r="L99" s="330"/>
      <c r="M99" s="351"/>
      <c r="N99" s="185"/>
      <c r="O99" s="327"/>
      <c r="P99" s="330"/>
      <c r="Q99" s="333"/>
      <c r="R99" s="239">
        <v>3</v>
      </c>
      <c r="S99" s="175"/>
      <c r="T99" s="176"/>
      <c r="U99" s="180"/>
      <c r="V99" s="180"/>
      <c r="W99" s="181"/>
      <c r="X99" s="180"/>
      <c r="Y99" s="180"/>
      <c r="Z99" s="180"/>
      <c r="AA99" s="155"/>
      <c r="AB99" s="169"/>
      <c r="AC99" s="170"/>
      <c r="AD99" s="169"/>
      <c r="AE99" s="170"/>
      <c r="AF99" s="171"/>
      <c r="AG99" s="172"/>
      <c r="AH99" s="192"/>
      <c r="AI99" s="165"/>
      <c r="AJ99" s="166"/>
      <c r="AK99" s="166"/>
      <c r="AL99" s="175"/>
      <c r="AM99" s="165"/>
    </row>
    <row r="100" spans="1:39" s="164" customFormat="1" ht="151.5" customHeight="1" x14ac:dyDescent="0.35">
      <c r="A100" s="325">
        <v>32</v>
      </c>
      <c r="B100" s="344" t="s">
        <v>309</v>
      </c>
      <c r="C100" s="344" t="s">
        <v>353</v>
      </c>
      <c r="D100" s="344" t="s">
        <v>402</v>
      </c>
      <c r="E100" s="338" t="s">
        <v>118</v>
      </c>
      <c r="F100" s="338" t="s">
        <v>523</v>
      </c>
      <c r="G100" s="338" t="s">
        <v>524</v>
      </c>
      <c r="H100" s="341" t="s">
        <v>525</v>
      </c>
      <c r="I100" s="341" t="s">
        <v>328</v>
      </c>
      <c r="J100" s="347">
        <v>1096</v>
      </c>
      <c r="K100" s="326" t="str">
        <f>IF(J100&lt;=0,"",IF(J100&lt;=2,"Muy Baja",IF(J100&lt;=24,"Baja",IF(J100&lt;=500,"Media",IF(J100&lt;=5000,"Alta","Muy Alta")))))</f>
        <v>Alta</v>
      </c>
      <c r="L100" s="329">
        <f>IF(K100="","",IF(K100="Muy Baja",0.2,IF(K100="Baja",0.4,IF(K100="Media",0.6,IF(K100="Alta",0.8,IF(K100="Muy Alta",1,))))))</f>
        <v>0.8</v>
      </c>
      <c r="M100" s="366" t="s">
        <v>486</v>
      </c>
      <c r="N100" s="329" t="str">
        <f>IF(NOT(ISERROR(MATCH(M100,'[1]Tabla Impacto'!$B$221:$B$223,0))),'[1]Tabla Impacto'!$F$223&amp;"Por favor no seleccionar los criterios de impacto(Afectación Económica o presupuestal y Pérdida Reputacional)",M100)</f>
        <v xml:space="preserve"> El riesgo afecta la imagen de la entidad con algunos usuarios de relevancia frente al logro de los objetivos</v>
      </c>
      <c r="O100" s="326" t="str">
        <f>IF(OR(N100='[1]Tabla Impacto'!$C$11,N100='[1]Tabla Impacto'!$D$11),"Leve",IF(OR(N100='[1]Tabla Impacto'!$C$12,N100='[1]Tabla Impacto'!$D$12),"Menor",IF(OR(N100='[1]Tabla Impacto'!$C$13,N100='[1]Tabla Impacto'!$D$13),"Moderado",IF(OR(N100='[1]Tabla Impacto'!$C$14,N100='[1]Tabla Impacto'!$D$14),"Mayor",IF(OR(N100='[1]Tabla Impacto'!$C$15,N100='[1]Tabla Impacto'!$D$15),"Catastrófico","")))))</f>
        <v>Moderado</v>
      </c>
      <c r="P100" s="329">
        <f>IF(O100="","",IF(O100="Leve",0.2,IF(O100="Menor",0.4,IF(O100="Moderado",0.6,IF(O100="Mayor",0.8,IF(O100="Catastrófico",1,))))))</f>
        <v>0.6</v>
      </c>
      <c r="Q100" s="332" t="str">
        <f>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Alto</v>
      </c>
      <c r="R100" s="174">
        <v>1</v>
      </c>
      <c r="S100" s="175" t="s">
        <v>593</v>
      </c>
      <c r="T100" s="223" t="str">
        <f t="shared" ref="T100" si="147">IF(OR(U100="Preventivo",U100="Detectivo"),"Probabilidad",IF(U100="Correctivo","Impacto",""))</f>
        <v>Probabilidad</v>
      </c>
      <c r="U100" s="224" t="s">
        <v>14</v>
      </c>
      <c r="V100" s="224" t="s">
        <v>9</v>
      </c>
      <c r="W100" s="225" t="str">
        <f t="shared" ref="W100" si="148">IF(AND(U100="Preventivo",V100="Automático"),"50%",IF(AND(U100="Preventivo",V100="Manual"),"40%",IF(AND(U100="Detectivo",V100="Automático"),"40%",IF(AND(U100="Detectivo",V100="Manual"),"30%",IF(AND(U100="Correctivo",V100="Automático"),"35%",IF(AND(U100="Correctivo",V100="Manual"),"25%",""))))))</f>
        <v>40%</v>
      </c>
      <c r="X100" s="224" t="s">
        <v>20</v>
      </c>
      <c r="Y100" s="224" t="s">
        <v>22</v>
      </c>
      <c r="Z100" s="224" t="s">
        <v>110</v>
      </c>
      <c r="AA100" s="226">
        <f t="shared" ref="AA100" si="149">IFERROR(IF(T100="Probabilidad",(L100-(+L100*W100)),IF(T100="Impacto",L100,"")),"")</f>
        <v>0.48</v>
      </c>
      <c r="AB100" s="227" t="str">
        <f t="shared" ref="AB100" si="150">IFERROR(IF(AA100="","",IF(AA100&lt;=0.2,"Muy Baja",IF(AA100&lt;=0.4,"Baja",IF(AA100&lt;=0.6,"Media",IF(AA100&lt;=0.8,"Alta","Muy Alta"))))),"")</f>
        <v>Media</v>
      </c>
      <c r="AC100" s="228">
        <f t="shared" ref="AC100" si="151">+AA100</f>
        <v>0.48</v>
      </c>
      <c r="AD100" s="227" t="str">
        <f t="shared" ref="AD100" si="152">IFERROR(IF(AE100="","",IF(AE100&lt;=0.2,"Leve",IF(AE100&lt;=0.4,"Menor",IF(AE100&lt;=0.6,"Moderado",IF(AE100&lt;=0.8,"Mayor","Catastrófico"))))),"")</f>
        <v>Moderado</v>
      </c>
      <c r="AE100" s="228">
        <f t="shared" ref="AE100" si="153">IFERROR(IF(T100="Impacto",(P100-(+P100*W100)),IF(T100="Probabilidad",P100,"")),"")</f>
        <v>0.6</v>
      </c>
      <c r="AF100" s="229" t="str">
        <f t="shared" ref="AF100" si="154">IFERROR(IF(OR(AND(AB100="Muy Baja",AD100="Leve"),AND(AB100="Muy Baja",AD100="Menor"),AND(AB100="Baja",AD100="Leve")),"Bajo",IF(OR(AND(AB100="Muy baja",AD100="Moderado"),AND(AB100="Baja",AD100="Menor"),AND(AB100="Baja",AD100="Moderado"),AND(AB100="Media",AD100="Leve"),AND(AB100="Media",AD100="Menor"),AND(AB100="Media",AD100="Moderado"),AND(AB100="Alta",AD100="Leve"),AND(AB100="Alta",AD100="Menor")),"Moderado",IF(OR(AND(AB100="Muy Baja",AD100="Mayor"),AND(AB100="Baja",AD100="Mayor"),AND(AB100="Media",AD100="Mayor"),AND(AB100="Alta",AD100="Moderado"),AND(AB100="Alta",AD100="Mayor"),AND(AB100="Muy Alta",AD100="Leve"),AND(AB100="Muy Alta",AD100="Menor"),AND(AB100="Muy Alta",AD100="Moderado"),AND(AB100="Muy Alta",AD100="Mayor")),"Alto",IF(OR(AND(AB100="Muy Baja",AD100="Catastrófico"),AND(AB100="Baja",AD100="Catastrófico"),AND(AB100="Media",AD100="Catastrófico"),AND(AB100="Alta",AD100="Catastrófico"),AND(AB100="Muy Alta",AD100="Catastrófico")),"Extremo","")))),"")</f>
        <v>Moderado</v>
      </c>
      <c r="AG100" s="230" t="s">
        <v>122</v>
      </c>
      <c r="AH100" s="173" t="s">
        <v>594</v>
      </c>
      <c r="AI100" s="165" t="s">
        <v>591</v>
      </c>
      <c r="AJ100" s="166" t="s">
        <v>286</v>
      </c>
      <c r="AK100" s="166" t="s">
        <v>287</v>
      </c>
      <c r="AL100" s="167" t="s">
        <v>473</v>
      </c>
      <c r="AM100" s="165"/>
    </row>
    <row r="101" spans="1:39" s="164" customFormat="1" ht="151.5" customHeight="1" x14ac:dyDescent="0.35">
      <c r="A101" s="325"/>
      <c r="B101" s="345"/>
      <c r="C101" s="345"/>
      <c r="D101" s="345"/>
      <c r="E101" s="339"/>
      <c r="F101" s="339"/>
      <c r="G101" s="339"/>
      <c r="H101" s="342"/>
      <c r="I101" s="342"/>
      <c r="J101" s="348"/>
      <c r="K101" s="327"/>
      <c r="L101" s="330"/>
      <c r="M101" s="367"/>
      <c r="N101" s="330"/>
      <c r="O101" s="327"/>
      <c r="P101" s="330"/>
      <c r="Q101" s="333"/>
      <c r="R101" s="174">
        <v>2</v>
      </c>
      <c r="S101" s="175"/>
      <c r="T101" s="176"/>
      <c r="U101" s="168"/>
      <c r="V101" s="168"/>
      <c r="W101" s="177"/>
      <c r="X101" s="168"/>
      <c r="Y101" s="168"/>
      <c r="Z101" s="168"/>
      <c r="AA101" s="155"/>
      <c r="AB101" s="169"/>
      <c r="AC101" s="170"/>
      <c r="AD101" s="169"/>
      <c r="AE101" s="170"/>
      <c r="AF101" s="171"/>
      <c r="AG101" s="172"/>
      <c r="AH101" s="173"/>
      <c r="AI101" s="165"/>
      <c r="AJ101" s="166"/>
      <c r="AK101" s="166"/>
      <c r="AL101" s="167"/>
      <c r="AM101" s="165"/>
    </row>
    <row r="102" spans="1:39" s="164" customFormat="1" ht="151.5" customHeight="1" x14ac:dyDescent="0.35">
      <c r="A102" s="325"/>
      <c r="B102" s="346"/>
      <c r="C102" s="346"/>
      <c r="D102" s="346"/>
      <c r="E102" s="340"/>
      <c r="F102" s="340"/>
      <c r="G102" s="340"/>
      <c r="H102" s="343"/>
      <c r="I102" s="343"/>
      <c r="J102" s="349"/>
      <c r="K102" s="328"/>
      <c r="L102" s="331"/>
      <c r="M102" s="368"/>
      <c r="N102" s="331"/>
      <c r="O102" s="328"/>
      <c r="P102" s="331"/>
      <c r="Q102" s="334"/>
      <c r="R102" s="174">
        <v>3</v>
      </c>
      <c r="S102" s="175"/>
      <c r="T102" s="176"/>
      <c r="U102" s="168"/>
      <c r="V102" s="168"/>
      <c r="W102" s="177"/>
      <c r="X102" s="168"/>
      <c r="Y102" s="168"/>
      <c r="Z102" s="168"/>
      <c r="AA102" s="155"/>
      <c r="AB102" s="169"/>
      <c r="AC102" s="170"/>
      <c r="AD102" s="169"/>
      <c r="AE102" s="170"/>
      <c r="AF102" s="171"/>
      <c r="AG102" s="172"/>
      <c r="AH102" s="173"/>
      <c r="AI102" s="165"/>
      <c r="AJ102" s="166"/>
      <c r="AK102" s="166"/>
      <c r="AL102" s="167"/>
      <c r="AM102" s="165"/>
    </row>
    <row r="103" spans="1:39" s="164" customFormat="1" ht="151.5" customHeight="1" x14ac:dyDescent="0.35">
      <c r="A103" s="325">
        <v>33</v>
      </c>
      <c r="B103" s="322" t="s">
        <v>310</v>
      </c>
      <c r="C103" s="355" t="s">
        <v>360</v>
      </c>
      <c r="D103" s="355" t="s">
        <v>403</v>
      </c>
      <c r="E103" s="338" t="s">
        <v>118</v>
      </c>
      <c r="F103" s="338" t="s">
        <v>311</v>
      </c>
      <c r="G103" s="338" t="s">
        <v>466</v>
      </c>
      <c r="H103" s="341" t="s">
        <v>465</v>
      </c>
      <c r="I103" s="338" t="s">
        <v>117</v>
      </c>
      <c r="J103" s="335">
        <v>365</v>
      </c>
      <c r="K103" s="326" t="str">
        <f>IF(J103&lt;=0,"",IF(J103&lt;=2,"Muy Baja",IF(J103&lt;=24,"Baja",IF(J103&lt;=500,"Media",IF(J103&lt;=5000,"Alta","Muy Alta")))))</f>
        <v>Media</v>
      </c>
      <c r="L103" s="329">
        <f>IF(K103="","",IF(K103="Muy Baja",0.2,IF(K103="Baja",0.4,IF(K103="Media",0.6,IF(K103="Alta",0.8,IF(K103="Muy Alta",1,))))))</f>
        <v>0.6</v>
      </c>
      <c r="M103" s="350" t="s">
        <v>486</v>
      </c>
      <c r="N103" s="178" t="str">
        <f>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326" t="str">
        <f>IF(OR(N103='Tabla Impacto'!$C$11,N103='Tabla Impacto'!$D$11),"Leve",IF(OR(N103='Tabla Impacto'!$C$12,N103='Tabla Impacto'!$D$12),"Menor",IF(OR(N103='Tabla Impacto'!$C$13,N103='Tabla Impacto'!$D$13),"Moderado",IF(OR(N103='Tabla Impacto'!$C$14,N103='Tabla Impacto'!$D$14),"Mayor",IF(OR(N103='Tabla Impacto'!$C$15,N103='Tabla Impacto'!$D$15),"Catastrófico","")))))</f>
        <v>Moderado</v>
      </c>
      <c r="P103" s="329">
        <f>IF(O103="","",IF(O103="Leve",0.2,IF(O103="Menor",0.4,IF(O103="Moderado",0.6,IF(O103="Mayor",0.8,IF(O103="Catastrófico",1,))))))</f>
        <v>0.6</v>
      </c>
      <c r="Q103" s="332"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179">
        <v>1</v>
      </c>
      <c r="S103" s="175" t="s">
        <v>344</v>
      </c>
      <c r="T103" s="176" t="str">
        <f t="shared" ref="T103:T105" si="155">IF(OR(U103="Preventivo",U103="Detectivo"),"Probabilidad",IF(U103="Correctivo","Impacto",""))</f>
        <v>Probabilidad</v>
      </c>
      <c r="U103" s="180" t="s">
        <v>15</v>
      </c>
      <c r="V103" s="180" t="s">
        <v>9</v>
      </c>
      <c r="W103" s="181" t="str">
        <f t="shared" ref="W103:W104" si="156">IF(AND(U103="Preventivo",V103="Automático"),"50%",IF(AND(U103="Preventivo",V103="Manual"),"40%",IF(AND(U103="Detectivo",V103="Automático"),"40%",IF(AND(U103="Detectivo",V103="Manual"),"30%",IF(AND(U103="Correctivo",V103="Automático"),"35%",IF(AND(U103="Correctivo",V103="Manual"),"25%",""))))))</f>
        <v>30%</v>
      </c>
      <c r="X103" s="180" t="s">
        <v>19</v>
      </c>
      <c r="Y103" s="180" t="s">
        <v>22</v>
      </c>
      <c r="Z103" s="180" t="s">
        <v>110</v>
      </c>
      <c r="AA103" s="155">
        <f t="shared" ref="AA103" si="157">IFERROR(IF(T103="Probabilidad",(L103-(+L103*W103)),IF(T103="Impacto",L103,"")),"")</f>
        <v>0.42</v>
      </c>
      <c r="AB103" s="169" t="str">
        <f t="shared" ref="AB103:AB105" si="158">IFERROR(IF(AA103="","",IF(AA103&lt;=0.2,"Muy Baja",IF(AA103&lt;=0.4,"Baja",IF(AA103&lt;=0.6,"Media",IF(AA103&lt;=0.8,"Alta","Muy Alta"))))),"")</f>
        <v>Media</v>
      </c>
      <c r="AC103" s="170">
        <f t="shared" ref="AC103:AC105" si="159">+AA103</f>
        <v>0.42</v>
      </c>
      <c r="AD103" s="169" t="str">
        <f t="shared" ref="AD103:AD105" si="160">IFERROR(IF(AE103="","",IF(AE103&lt;=0.2,"Leve",IF(AE103&lt;=0.4,"Menor",IF(AE103&lt;=0.6,"Moderado",IF(AE103&lt;=0.8,"Mayor","Catastrófico"))))),"")</f>
        <v>Moderado</v>
      </c>
      <c r="AE103" s="170">
        <f t="shared" ref="AE103:AE105" si="161">IFERROR(IF(T103="Impacto",(P103-(+P103*W103)),IF(T103="Probabilidad",P103,"")),"")</f>
        <v>0.6</v>
      </c>
      <c r="AF103" s="171" t="str">
        <f t="shared" ref="AF103:AF105" si="162">IFERROR(IF(OR(AND(AB103="Muy Baja",AD103="Leve"),AND(AB103="Muy Baja",AD103="Menor"),AND(AB103="Baja",AD103="Leve")),"Bajo",IF(OR(AND(AB103="Muy baja",AD103="Moderado"),AND(AB103="Baja",AD103="Menor"),AND(AB103="Baja",AD103="Moderado"),AND(AB103="Media",AD103="Leve"),AND(AB103="Media",AD103="Menor"),AND(AB103="Media",AD103="Moderado"),AND(AB103="Alta",AD103="Leve"),AND(AB103="Alta",AD103="Menor")),"Moderado",IF(OR(AND(AB103="Muy Baja",AD103="Mayor"),AND(AB103="Baja",AD103="Mayor"),AND(AB103="Media",AD103="Mayor"),AND(AB103="Alta",AD103="Moderado"),AND(AB103="Alta",AD103="Mayor"),AND(AB103="Muy Alta",AD103="Leve"),AND(AB103="Muy Alta",AD103="Menor"),AND(AB103="Muy Alta",AD103="Moderado"),AND(AB103="Muy Alta",AD103="Mayor")),"Alto",IF(OR(AND(AB103="Muy Baja",AD103="Catastrófico"),AND(AB103="Baja",AD103="Catastrófico"),AND(AB103="Media",AD103="Catastrófico"),AND(AB103="Alta",AD103="Catastrófico"),AND(AB103="Muy Alta",AD103="Catastrófico")),"Extremo","")))),"")</f>
        <v>Moderado</v>
      </c>
      <c r="AG103" s="172" t="s">
        <v>122</v>
      </c>
      <c r="AH103" s="173" t="s">
        <v>404</v>
      </c>
      <c r="AI103" s="165" t="s">
        <v>203</v>
      </c>
      <c r="AJ103" s="166" t="s">
        <v>199</v>
      </c>
      <c r="AK103" s="166" t="s">
        <v>199</v>
      </c>
      <c r="AL103" s="167" t="s">
        <v>406</v>
      </c>
      <c r="AM103" s="165"/>
    </row>
    <row r="104" spans="1:39" s="164" customFormat="1" ht="151.5" customHeight="1" x14ac:dyDescent="0.35">
      <c r="A104" s="325"/>
      <c r="B104" s="323"/>
      <c r="C104" s="363"/>
      <c r="D104" s="363"/>
      <c r="E104" s="339"/>
      <c r="F104" s="339"/>
      <c r="G104" s="339"/>
      <c r="H104" s="342"/>
      <c r="I104" s="339"/>
      <c r="J104" s="336"/>
      <c r="K104" s="327"/>
      <c r="L104" s="330"/>
      <c r="M104" s="351"/>
      <c r="N104" s="185"/>
      <c r="O104" s="327"/>
      <c r="P104" s="330"/>
      <c r="Q104" s="333"/>
      <c r="R104" s="179">
        <v>2</v>
      </c>
      <c r="S104" s="175" t="s">
        <v>350</v>
      </c>
      <c r="T104" s="176" t="str">
        <f t="shared" si="155"/>
        <v>Probabilidad</v>
      </c>
      <c r="U104" s="180" t="s">
        <v>14</v>
      </c>
      <c r="V104" s="180" t="s">
        <v>9</v>
      </c>
      <c r="W104" s="181" t="str">
        <f t="shared" si="156"/>
        <v>40%</v>
      </c>
      <c r="X104" s="180" t="s">
        <v>19</v>
      </c>
      <c r="Y104" s="180" t="s">
        <v>23</v>
      </c>
      <c r="Z104" s="180" t="s">
        <v>110</v>
      </c>
      <c r="AA104" s="155">
        <f>IFERROR(IF(T104="Probabilidad",(AA103-(+AA103*W104)),IF(T104="Impacto",L104,"")),"")</f>
        <v>0.252</v>
      </c>
      <c r="AB104" s="169" t="str">
        <f t="shared" si="158"/>
        <v>Baja</v>
      </c>
      <c r="AC104" s="170">
        <f t="shared" si="159"/>
        <v>0.252</v>
      </c>
      <c r="AD104" s="169" t="str">
        <f t="shared" si="160"/>
        <v>Moderado</v>
      </c>
      <c r="AE104" s="170">
        <v>0.6</v>
      </c>
      <c r="AF104" s="171" t="str">
        <f t="shared" si="162"/>
        <v>Moderado</v>
      </c>
      <c r="AG104" s="172" t="s">
        <v>122</v>
      </c>
      <c r="AH104" s="182" t="s">
        <v>312</v>
      </c>
      <c r="AI104" s="183" t="s">
        <v>212</v>
      </c>
      <c r="AJ104" s="184" t="s">
        <v>199</v>
      </c>
      <c r="AK104" s="184" t="s">
        <v>199</v>
      </c>
      <c r="AL104" s="182" t="s">
        <v>405</v>
      </c>
      <c r="AM104" s="165"/>
    </row>
    <row r="105" spans="1:39" s="164" customFormat="1" ht="99.75" customHeight="1" x14ac:dyDescent="0.35">
      <c r="A105" s="325"/>
      <c r="B105" s="324"/>
      <c r="C105" s="363"/>
      <c r="D105" s="363"/>
      <c r="E105" s="339"/>
      <c r="F105" s="339"/>
      <c r="G105" s="339"/>
      <c r="H105" s="342"/>
      <c r="I105" s="339"/>
      <c r="J105" s="336"/>
      <c r="K105" s="328"/>
      <c r="L105" s="331"/>
      <c r="M105" s="351"/>
      <c r="N105" s="185"/>
      <c r="O105" s="328"/>
      <c r="P105" s="331"/>
      <c r="Q105" s="334"/>
      <c r="R105" s="179">
        <v>3</v>
      </c>
      <c r="S105" s="175"/>
      <c r="T105" s="176" t="str">
        <f t="shared" si="155"/>
        <v/>
      </c>
      <c r="U105" s="180"/>
      <c r="V105" s="180"/>
      <c r="W105" s="181"/>
      <c r="X105" s="180"/>
      <c r="Y105" s="180"/>
      <c r="Z105" s="180"/>
      <c r="AA105" s="155" t="str">
        <f>IFERROR(IF(T105="Probabilidad",(AA104-(+AA104*W105)),IF(T105="Impacto",L105,"")),"")</f>
        <v/>
      </c>
      <c r="AB105" s="169" t="str">
        <f t="shared" si="158"/>
        <v/>
      </c>
      <c r="AC105" s="170" t="str">
        <f t="shared" si="159"/>
        <v/>
      </c>
      <c r="AD105" s="169" t="str">
        <f t="shared" si="160"/>
        <v/>
      </c>
      <c r="AE105" s="170" t="str">
        <f t="shared" si="161"/>
        <v/>
      </c>
      <c r="AF105" s="171" t="str">
        <f t="shared" si="162"/>
        <v/>
      </c>
      <c r="AG105" s="172"/>
      <c r="AH105" s="175"/>
      <c r="AI105" s="165"/>
      <c r="AJ105" s="166"/>
      <c r="AK105" s="166"/>
      <c r="AL105" s="175"/>
      <c r="AM105" s="165"/>
    </row>
    <row r="106" spans="1:39" s="164" customFormat="1" ht="151.5" customHeight="1" x14ac:dyDescent="0.35">
      <c r="A106" s="325">
        <v>34</v>
      </c>
      <c r="B106" s="322" t="s">
        <v>310</v>
      </c>
      <c r="C106" s="355" t="s">
        <v>360</v>
      </c>
      <c r="D106" s="355" t="s">
        <v>403</v>
      </c>
      <c r="E106" s="338" t="s">
        <v>118</v>
      </c>
      <c r="F106" s="338" t="s">
        <v>313</v>
      </c>
      <c r="G106" s="338" t="s">
        <v>333</v>
      </c>
      <c r="H106" s="341" t="s">
        <v>407</v>
      </c>
      <c r="I106" s="338" t="s">
        <v>328</v>
      </c>
      <c r="J106" s="335">
        <v>365</v>
      </c>
      <c r="K106" s="326" t="str">
        <f>IF(J106&lt;=0,"",IF(J106&lt;=2,"Muy Baja",IF(J106&lt;=24,"Baja",IF(J106&lt;=500,"Media",IF(J106&lt;=5000,"Alta","Muy Alta")))))</f>
        <v>Media</v>
      </c>
      <c r="L106" s="329">
        <f>IF(K106="","",IF(K106="Muy Baja",0.2,IF(K106="Baja",0.4,IF(K106="Media",0.6,IF(K106="Alta",0.8,IF(K106="Muy Alta",1,))))))</f>
        <v>0.6</v>
      </c>
      <c r="M106" s="350" t="s">
        <v>486</v>
      </c>
      <c r="N106" s="178" t="str">
        <f>IF(NOT(ISERROR(MATCH(M106,'Tabla Impacto'!$B$221:$B$223,0))),'Tabla Impacto'!$F$223&amp;"Por favor no seleccionar los criterios de impacto(Afectación Económica o presupuestal y Pérdida Reputacional)",M106)</f>
        <v xml:space="preserve"> El riesgo afecta la imagen de la entidad con algunos usuarios de relevancia frente al logro de los objetivos</v>
      </c>
      <c r="O106" s="326" t="str">
        <f>IF(OR(N106='Tabla Impacto'!$C$11,N106='Tabla Impacto'!$D$11),"Leve",IF(OR(N106='Tabla Impacto'!$C$12,N106='Tabla Impacto'!$D$12),"Menor",IF(OR(N106='Tabla Impacto'!$C$13,N106='Tabla Impacto'!$D$13),"Moderado",IF(OR(N106='Tabla Impacto'!$C$14,N106='Tabla Impacto'!$D$14),"Mayor",IF(OR(N106='Tabla Impacto'!$C$15,N106='Tabla Impacto'!$D$15),"Catastrófico","")))))</f>
        <v>Moderado</v>
      </c>
      <c r="P106" s="329">
        <f>IF(O106="","",IF(O106="Leve",0.2,IF(O106="Menor",0.4,IF(O106="Moderado",0.6,IF(O106="Mayor",0.8,IF(O106="Catastrófico",1,))))))</f>
        <v>0.6</v>
      </c>
      <c r="Q106" s="332" t="str">
        <f>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Moderado</v>
      </c>
      <c r="R106" s="179">
        <v>1</v>
      </c>
      <c r="S106" s="175" t="s">
        <v>334</v>
      </c>
      <c r="T106" s="176" t="str">
        <f t="shared" si="25"/>
        <v>Probabilidad</v>
      </c>
      <c r="U106" s="180" t="s">
        <v>14</v>
      </c>
      <c r="V106" s="180" t="s">
        <v>9</v>
      </c>
      <c r="W106" s="181" t="str">
        <f t="shared" si="26"/>
        <v>40%</v>
      </c>
      <c r="X106" s="180" t="s">
        <v>19</v>
      </c>
      <c r="Y106" s="180" t="s">
        <v>23</v>
      </c>
      <c r="Z106" s="180" t="s">
        <v>110</v>
      </c>
      <c r="AA106" s="155">
        <f t="shared" si="27"/>
        <v>0.36</v>
      </c>
      <c r="AB106" s="169" t="str">
        <f t="shared" si="28"/>
        <v>Baja</v>
      </c>
      <c r="AC106" s="170">
        <f t="shared" si="29"/>
        <v>0.36</v>
      </c>
      <c r="AD106" s="169" t="str">
        <f t="shared" si="30"/>
        <v>Moderado</v>
      </c>
      <c r="AE106" s="170">
        <f t="shared" si="31"/>
        <v>0.6</v>
      </c>
      <c r="AF106" s="171" t="str">
        <f t="shared" si="32"/>
        <v>Moderado</v>
      </c>
      <c r="AG106" s="172" t="s">
        <v>122</v>
      </c>
      <c r="AH106" s="182" t="s">
        <v>335</v>
      </c>
      <c r="AI106" s="183" t="s">
        <v>282</v>
      </c>
      <c r="AJ106" s="184" t="s">
        <v>199</v>
      </c>
      <c r="AK106" s="184" t="s">
        <v>199</v>
      </c>
      <c r="AL106" s="182" t="s">
        <v>408</v>
      </c>
      <c r="AM106" s="165"/>
    </row>
    <row r="107" spans="1:39" s="164" customFormat="1" ht="151.5" customHeight="1" x14ac:dyDescent="0.35">
      <c r="A107" s="325"/>
      <c r="B107" s="323"/>
      <c r="C107" s="363"/>
      <c r="D107" s="363"/>
      <c r="E107" s="339"/>
      <c r="F107" s="339"/>
      <c r="G107" s="339"/>
      <c r="H107" s="342"/>
      <c r="I107" s="339"/>
      <c r="J107" s="336"/>
      <c r="K107" s="327"/>
      <c r="L107" s="330"/>
      <c r="M107" s="351"/>
      <c r="N107" s="185"/>
      <c r="O107" s="327"/>
      <c r="P107" s="330"/>
      <c r="Q107" s="333"/>
      <c r="R107" s="179">
        <v>2</v>
      </c>
      <c r="S107" s="175" t="s">
        <v>345</v>
      </c>
      <c r="T107" s="176" t="str">
        <f t="shared" ref="T107:T108" si="163">IF(OR(U107="Preventivo",U107="Detectivo"),"Probabilidad",IF(U107="Correctivo","Impacto",""))</f>
        <v>Probabilidad</v>
      </c>
      <c r="U107" s="180" t="s">
        <v>14</v>
      </c>
      <c r="V107" s="180" t="s">
        <v>9</v>
      </c>
      <c r="W107" s="181" t="str">
        <f t="shared" ref="W107" si="164">IF(AND(U107="Preventivo",V107="Automático"),"50%",IF(AND(U107="Preventivo",V107="Manual"),"40%",IF(AND(U107="Detectivo",V107="Automático"),"40%",IF(AND(U107="Detectivo",V107="Manual"),"30%",IF(AND(U107="Correctivo",V107="Automático"),"35%",IF(AND(U107="Correctivo",V107="Manual"),"25%",""))))))</f>
        <v>40%</v>
      </c>
      <c r="X107" s="180" t="s">
        <v>20</v>
      </c>
      <c r="Y107" s="180" t="s">
        <v>22</v>
      </c>
      <c r="Z107" s="180" t="s">
        <v>110</v>
      </c>
      <c r="AA107" s="155">
        <f>IFERROR(IF(T107="Probabilidad",(AA106-(+AA106*W107)),IF(T107="Impacto",L107,"")),"")</f>
        <v>0.216</v>
      </c>
      <c r="AB107" s="169" t="str">
        <f t="shared" ref="AB107:AB108" si="165">IFERROR(IF(AA107="","",IF(AA107&lt;=0.2,"Muy Baja",IF(AA107&lt;=0.4,"Baja",IF(AA107&lt;=0.6,"Media",IF(AA107&lt;=0.8,"Alta","Muy Alta"))))),"")</f>
        <v>Baja</v>
      </c>
      <c r="AC107" s="170">
        <f t="shared" ref="AC107:AC108" si="166">+AA107</f>
        <v>0.216</v>
      </c>
      <c r="AD107" s="169" t="str">
        <f t="shared" ref="AD107:AD108" si="167">IFERROR(IF(AE107="","",IF(AE107&lt;=0.2,"Leve",IF(AE107&lt;=0.4,"Menor",IF(AE107&lt;=0.6,"Moderado",IF(AE107&lt;=0.8,"Mayor","Catastrófico"))))),"")</f>
        <v>Moderado</v>
      </c>
      <c r="AE107" s="170">
        <v>0.6</v>
      </c>
      <c r="AF107" s="171" t="str">
        <f t="shared" ref="AF107:AF108" si="168">IFERROR(IF(OR(AND(AB107="Muy Baja",AD107="Leve"),AND(AB107="Muy Baja",AD107="Menor"),AND(AB107="Baja",AD107="Leve")),"Bajo",IF(OR(AND(AB107="Muy baja",AD107="Moderado"),AND(AB107="Baja",AD107="Menor"),AND(AB107="Baja",AD107="Moderado"),AND(AB107="Media",AD107="Leve"),AND(AB107="Media",AD107="Menor"),AND(AB107="Media",AD107="Moderado"),AND(AB107="Alta",AD107="Leve"),AND(AB107="Alta",AD107="Menor")),"Moderado",IF(OR(AND(AB107="Muy Baja",AD107="Mayor"),AND(AB107="Baja",AD107="Mayor"),AND(AB107="Media",AD107="Mayor"),AND(AB107="Alta",AD107="Moderado"),AND(AB107="Alta",AD107="Mayor"),AND(AB107="Muy Alta",AD107="Leve"),AND(AB107="Muy Alta",AD107="Menor"),AND(AB107="Muy Alta",AD107="Moderado"),AND(AB107="Muy Alta",AD107="Mayor")),"Alto",IF(OR(AND(AB107="Muy Baja",AD107="Catastrófico"),AND(AB107="Baja",AD107="Catastrófico"),AND(AB107="Media",AD107="Catastrófico"),AND(AB107="Alta",AD107="Catastrófico"),AND(AB107="Muy Alta",AD107="Catastrófico")),"Extremo","")))),"")</f>
        <v>Moderado</v>
      </c>
      <c r="AG107" s="172" t="s">
        <v>122</v>
      </c>
      <c r="AH107" s="182" t="s">
        <v>404</v>
      </c>
      <c r="AI107" s="183" t="s">
        <v>203</v>
      </c>
      <c r="AJ107" s="184" t="s">
        <v>199</v>
      </c>
      <c r="AK107" s="184" t="s">
        <v>199</v>
      </c>
      <c r="AL107" s="182" t="s">
        <v>406</v>
      </c>
      <c r="AM107" s="165"/>
    </row>
    <row r="108" spans="1:39" s="164" customFormat="1" ht="151.5" customHeight="1" x14ac:dyDescent="0.35">
      <c r="A108" s="325"/>
      <c r="B108" s="324"/>
      <c r="C108" s="363"/>
      <c r="D108" s="363"/>
      <c r="E108" s="339"/>
      <c r="F108" s="339"/>
      <c r="G108" s="339"/>
      <c r="H108" s="342"/>
      <c r="I108" s="339"/>
      <c r="J108" s="336"/>
      <c r="K108" s="328"/>
      <c r="L108" s="331"/>
      <c r="M108" s="351"/>
      <c r="N108" s="185"/>
      <c r="O108" s="328"/>
      <c r="P108" s="331"/>
      <c r="Q108" s="334"/>
      <c r="R108" s="179">
        <v>3</v>
      </c>
      <c r="S108" s="175"/>
      <c r="T108" s="176" t="str">
        <f t="shared" si="163"/>
        <v/>
      </c>
      <c r="U108" s="180"/>
      <c r="V108" s="180"/>
      <c r="W108" s="181"/>
      <c r="X108" s="180"/>
      <c r="Y108" s="180"/>
      <c r="Z108" s="180"/>
      <c r="AA108" s="155" t="str">
        <f>IFERROR(IF(T108="Probabilidad",(AA107-(+AA107*W108)),IF(T108="Impacto",L108,"")),"")</f>
        <v/>
      </c>
      <c r="AB108" s="169" t="str">
        <f t="shared" si="165"/>
        <v/>
      </c>
      <c r="AC108" s="170" t="str">
        <f t="shared" si="166"/>
        <v/>
      </c>
      <c r="AD108" s="169" t="str">
        <f t="shared" si="167"/>
        <v/>
      </c>
      <c r="AE108" s="170" t="str">
        <f t="shared" ref="AE108" si="169">IFERROR(IF(T108="Impacto",(P108-(+P108*W108)),IF(T108="Probabilidad",P108,"")),"")</f>
        <v/>
      </c>
      <c r="AF108" s="171" t="str">
        <f t="shared" si="168"/>
        <v/>
      </c>
      <c r="AG108" s="172"/>
      <c r="AH108" s="175"/>
      <c r="AI108" s="165"/>
      <c r="AJ108" s="166"/>
      <c r="AK108" s="166"/>
      <c r="AL108" s="175"/>
      <c r="AM108" s="165"/>
    </row>
    <row r="109" spans="1:39" s="164" customFormat="1" ht="151.5" customHeight="1" x14ac:dyDescent="0.35">
      <c r="A109" s="325">
        <v>35</v>
      </c>
      <c r="B109" s="322" t="s">
        <v>310</v>
      </c>
      <c r="C109" s="355" t="s">
        <v>360</v>
      </c>
      <c r="D109" s="355" t="s">
        <v>403</v>
      </c>
      <c r="E109" s="338" t="s">
        <v>120</v>
      </c>
      <c r="F109" s="338" t="s">
        <v>315</v>
      </c>
      <c r="G109" s="338" t="s">
        <v>316</v>
      </c>
      <c r="H109" s="341" t="s">
        <v>314</v>
      </c>
      <c r="I109" s="338" t="s">
        <v>336</v>
      </c>
      <c r="J109" s="335">
        <v>365</v>
      </c>
      <c r="K109" s="326" t="str">
        <f>IF(J109&lt;=0,"",IF(J109&lt;=2,"Muy Baja",IF(J109&lt;=24,"Baja",IF(J109&lt;=500,"Media",IF(J109&lt;=5000,"Alta","Muy Alta")))))</f>
        <v>Media</v>
      </c>
      <c r="L109" s="329">
        <f>IF(K109="","",IF(K109="Muy Baja",0.2,IF(K109="Baja",0.4,IF(K109="Media",0.6,IF(K109="Alta",0.8,IF(K109="Muy Alta",1,))))))</f>
        <v>0.6</v>
      </c>
      <c r="M109" s="350" t="s">
        <v>493</v>
      </c>
      <c r="N109" s="178" t="str">
        <f>IF(NOT(ISERROR(MATCH(M109,'Tabla Impacto'!$B$221:$B$223,0))),'Tabla Impacto'!$F$223&amp;"Por favor no seleccionar los criterios de impacto(Afectación Económica o presupuestal y Pérdida Reputacional)",M109)</f>
        <v xml:space="preserve"> El riesgo afecta la imagen de la entidad con efecto publicitario sostenido a nivel de sector administrativo, nivel departamental o municipal</v>
      </c>
      <c r="O109" s="326" t="str">
        <f>IF(OR(N109='Tabla Impacto'!$C$11,N109='Tabla Impacto'!$D$11),"Leve",IF(OR(N109='Tabla Impacto'!$C$12,N109='Tabla Impacto'!$D$12),"Menor",IF(OR(N109='Tabla Impacto'!$C$13,N109='Tabla Impacto'!$D$13),"Moderado",IF(OR(N109='Tabla Impacto'!$C$14,N109='Tabla Impacto'!$D$14),"Mayor",IF(OR(N109='Tabla Impacto'!$C$15,N109='Tabla Impacto'!$D$15),"Catastrófico","")))))</f>
        <v>Mayor</v>
      </c>
      <c r="P109" s="329">
        <f>IF(O109="","",IF(O109="Leve",0.2,IF(O109="Menor",0.4,IF(O109="Moderado",0.6,IF(O109="Mayor",0.8,IF(O109="Catastrófico",1,))))))</f>
        <v>0.8</v>
      </c>
      <c r="Q109" s="332" t="str">
        <f>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Alto</v>
      </c>
      <c r="R109" s="179">
        <v>1</v>
      </c>
      <c r="S109" s="175" t="s">
        <v>351</v>
      </c>
      <c r="T109" s="176" t="str">
        <f t="shared" ref="T109:T111" si="170">IF(OR(U109="Preventivo",U109="Detectivo"),"Probabilidad",IF(U109="Correctivo","Impacto",""))</f>
        <v>Probabilidad</v>
      </c>
      <c r="U109" s="180" t="s">
        <v>14</v>
      </c>
      <c r="V109" s="180" t="s">
        <v>9</v>
      </c>
      <c r="W109" s="181" t="str">
        <f t="shared" ref="W109:W110" si="171">IF(AND(U109="Preventivo",V109="Automático"),"50%",IF(AND(U109="Preventivo",V109="Manual"),"40%",IF(AND(U109="Detectivo",V109="Automático"),"40%",IF(AND(U109="Detectivo",V109="Manual"),"30%",IF(AND(U109="Correctivo",V109="Automático"),"35%",IF(AND(U109="Correctivo",V109="Manual"),"25%",""))))))</f>
        <v>40%</v>
      </c>
      <c r="X109" s="180" t="s">
        <v>19</v>
      </c>
      <c r="Y109" s="180" t="s">
        <v>22</v>
      </c>
      <c r="Z109" s="180" t="s">
        <v>110</v>
      </c>
      <c r="AA109" s="155">
        <f t="shared" ref="AA109" si="172">IFERROR(IF(T109="Probabilidad",(L109-(+L109*W109)),IF(T109="Impacto",L109,"")),"")</f>
        <v>0.36</v>
      </c>
      <c r="AB109" s="169" t="str">
        <f t="shared" ref="AB109:AB111" si="173">IFERROR(IF(AA109="","",IF(AA109&lt;=0.2,"Muy Baja",IF(AA109&lt;=0.4,"Baja",IF(AA109&lt;=0.6,"Media",IF(AA109&lt;=0.8,"Alta","Muy Alta"))))),"")</f>
        <v>Baja</v>
      </c>
      <c r="AC109" s="170">
        <f t="shared" ref="AC109:AC111" si="174">+AA109</f>
        <v>0.36</v>
      </c>
      <c r="AD109" s="169" t="str">
        <f t="shared" ref="AD109:AD111" si="175">IFERROR(IF(AE109="","",IF(AE109&lt;=0.2,"Leve",IF(AE109&lt;=0.4,"Menor",IF(AE109&lt;=0.6,"Moderado",IF(AE109&lt;=0.8,"Mayor","Catastrófico"))))),"")</f>
        <v>Mayor</v>
      </c>
      <c r="AE109" s="170">
        <f t="shared" ref="AE109:AE111" si="176">IFERROR(IF(T109="Impacto",(P109-(+P109*W109)),IF(T109="Probabilidad",P109,"")),"")</f>
        <v>0.8</v>
      </c>
      <c r="AF109" s="171" t="str">
        <f t="shared" ref="AF109:AF111" si="177">IFERROR(IF(OR(AND(AB109="Muy Baja",AD109="Leve"),AND(AB109="Muy Baja",AD109="Menor"),AND(AB109="Baja",AD109="Leve")),"Bajo",IF(OR(AND(AB109="Muy baja",AD109="Moderado"),AND(AB109="Baja",AD109="Menor"),AND(AB109="Baja",AD109="Moderado"),AND(AB109="Media",AD109="Leve"),AND(AB109="Media",AD109="Menor"),AND(AB109="Media",AD109="Moderado"),AND(AB109="Alta",AD109="Leve"),AND(AB109="Alta",AD109="Menor")),"Moderado",IF(OR(AND(AB109="Muy Baja",AD109="Mayor"),AND(AB109="Baja",AD109="Mayor"),AND(AB109="Media",AD109="Mayor"),AND(AB109="Alta",AD109="Moderado"),AND(AB109="Alta",AD109="Mayor"),AND(AB109="Muy Alta",AD109="Leve"),AND(AB109="Muy Alta",AD109="Menor"),AND(AB109="Muy Alta",AD109="Moderado"),AND(AB109="Muy Alta",AD109="Mayor")),"Alto",IF(OR(AND(AB109="Muy Baja",AD109="Catastrófico"),AND(AB109="Baja",AD109="Catastrófico"),AND(AB109="Media",AD109="Catastrófico"),AND(AB109="Alta",AD109="Catastrófico"),AND(AB109="Muy Alta",AD109="Catastrófico")),"Extremo","")))),"")</f>
        <v>Alto</v>
      </c>
      <c r="AG109" s="172" t="s">
        <v>122</v>
      </c>
      <c r="AH109" s="182" t="s">
        <v>312</v>
      </c>
      <c r="AI109" s="183" t="s">
        <v>212</v>
      </c>
      <c r="AJ109" s="184" t="s">
        <v>199</v>
      </c>
      <c r="AK109" s="184" t="s">
        <v>199</v>
      </c>
      <c r="AL109" s="182" t="s">
        <v>405</v>
      </c>
      <c r="AM109" s="165"/>
    </row>
    <row r="110" spans="1:39" s="164" customFormat="1" ht="151.5" customHeight="1" x14ac:dyDescent="0.35">
      <c r="A110" s="325"/>
      <c r="B110" s="323"/>
      <c r="C110" s="363"/>
      <c r="D110" s="363"/>
      <c r="E110" s="339"/>
      <c r="F110" s="339"/>
      <c r="G110" s="339"/>
      <c r="H110" s="342"/>
      <c r="I110" s="339"/>
      <c r="J110" s="336"/>
      <c r="K110" s="327"/>
      <c r="L110" s="330"/>
      <c r="M110" s="351"/>
      <c r="N110" s="185"/>
      <c r="O110" s="327"/>
      <c r="P110" s="330"/>
      <c r="Q110" s="333"/>
      <c r="R110" s="179">
        <v>2</v>
      </c>
      <c r="S110" s="175" t="s">
        <v>346</v>
      </c>
      <c r="T110" s="176" t="str">
        <f t="shared" si="170"/>
        <v>Probabilidad</v>
      </c>
      <c r="U110" s="180" t="s">
        <v>15</v>
      </c>
      <c r="V110" s="180" t="s">
        <v>10</v>
      </c>
      <c r="W110" s="181" t="str">
        <f t="shared" si="171"/>
        <v>40%</v>
      </c>
      <c r="X110" s="180" t="s">
        <v>19</v>
      </c>
      <c r="Y110" s="180" t="s">
        <v>22</v>
      </c>
      <c r="Z110" s="180" t="s">
        <v>110</v>
      </c>
      <c r="AA110" s="155">
        <f>IFERROR(IF(T110="Probabilidad",(AA109-(+AA109*W110)),IF(T110="Impacto",L110,"")),"")</f>
        <v>0.216</v>
      </c>
      <c r="AB110" s="169" t="str">
        <f t="shared" si="173"/>
        <v>Baja</v>
      </c>
      <c r="AC110" s="170">
        <f t="shared" si="174"/>
        <v>0.216</v>
      </c>
      <c r="AD110" s="169" t="str">
        <f t="shared" si="175"/>
        <v>Mayor</v>
      </c>
      <c r="AE110" s="170">
        <v>0.8</v>
      </c>
      <c r="AF110" s="171" t="str">
        <f t="shared" si="177"/>
        <v>Alto</v>
      </c>
      <c r="AG110" s="172" t="s">
        <v>122</v>
      </c>
      <c r="AH110" s="186" t="s">
        <v>409</v>
      </c>
      <c r="AI110" s="183" t="s">
        <v>203</v>
      </c>
      <c r="AJ110" s="184" t="s">
        <v>199</v>
      </c>
      <c r="AK110" s="184" t="s">
        <v>199</v>
      </c>
      <c r="AL110" s="182" t="s">
        <v>410</v>
      </c>
      <c r="AM110" s="165"/>
    </row>
    <row r="111" spans="1:39" s="164" customFormat="1" ht="151.5" customHeight="1" x14ac:dyDescent="0.35">
      <c r="A111" s="325"/>
      <c r="B111" s="324"/>
      <c r="C111" s="363"/>
      <c r="D111" s="363"/>
      <c r="E111" s="339"/>
      <c r="F111" s="339"/>
      <c r="G111" s="339"/>
      <c r="H111" s="342"/>
      <c r="I111" s="339"/>
      <c r="J111" s="336"/>
      <c r="K111" s="328"/>
      <c r="L111" s="331"/>
      <c r="M111" s="351"/>
      <c r="N111" s="185"/>
      <c r="O111" s="328"/>
      <c r="P111" s="331"/>
      <c r="Q111" s="334"/>
      <c r="R111" s="179">
        <v>3</v>
      </c>
      <c r="S111" s="175"/>
      <c r="T111" s="176" t="str">
        <f t="shared" si="170"/>
        <v/>
      </c>
      <c r="U111" s="180"/>
      <c r="V111" s="180"/>
      <c r="W111" s="181"/>
      <c r="X111" s="180"/>
      <c r="Y111" s="180"/>
      <c r="Z111" s="180"/>
      <c r="AA111" s="155" t="str">
        <f>IFERROR(IF(T111="Probabilidad",(AA110-(+AA110*W111)),IF(T111="Impacto",L111,"")),"")</f>
        <v/>
      </c>
      <c r="AB111" s="169" t="str">
        <f t="shared" si="173"/>
        <v/>
      </c>
      <c r="AC111" s="170" t="str">
        <f t="shared" si="174"/>
        <v/>
      </c>
      <c r="AD111" s="169" t="str">
        <f t="shared" si="175"/>
        <v/>
      </c>
      <c r="AE111" s="170" t="str">
        <f t="shared" si="176"/>
        <v/>
      </c>
      <c r="AF111" s="171" t="str">
        <f t="shared" si="177"/>
        <v/>
      </c>
      <c r="AG111" s="172"/>
      <c r="AH111" s="175"/>
      <c r="AI111" s="165"/>
      <c r="AJ111" s="166"/>
      <c r="AK111" s="166"/>
      <c r="AL111" s="175"/>
      <c r="AM111" s="165"/>
    </row>
    <row r="112" spans="1:39" s="164" customFormat="1" ht="151.5" customHeight="1" x14ac:dyDescent="0.35">
      <c r="A112" s="325">
        <v>36</v>
      </c>
      <c r="B112" s="322" t="s">
        <v>317</v>
      </c>
      <c r="C112" s="355" t="s">
        <v>352</v>
      </c>
      <c r="D112" s="355" t="s">
        <v>411</v>
      </c>
      <c r="E112" s="338" t="s">
        <v>120</v>
      </c>
      <c r="F112" s="338" t="s">
        <v>467</v>
      </c>
      <c r="G112" s="338" t="s">
        <v>468</v>
      </c>
      <c r="H112" s="341" t="s">
        <v>412</v>
      </c>
      <c r="I112" s="338" t="s">
        <v>328</v>
      </c>
      <c r="J112" s="335">
        <v>35</v>
      </c>
      <c r="K112" s="326" t="str">
        <f>IF(J112&lt;=0,"",IF(J112&lt;=2,"Muy Baja",IF(J112&lt;=24,"Baja",IF(J112&lt;=500,"Media",IF(J112&lt;=5000,"Alta","Muy Alta")))))</f>
        <v>Media</v>
      </c>
      <c r="L112" s="329">
        <f>IF(K112="","",IF(K112="Muy Baja",0.2,IF(K112="Baja",0.4,IF(K112="Media",0.6,IF(K112="Alta",0.8,IF(K112="Muy Alta",1,))))))</f>
        <v>0.6</v>
      </c>
      <c r="M112" s="350" t="s">
        <v>491</v>
      </c>
      <c r="N112" s="178" t="str">
        <f>IF(NOT(ISERROR(MATCH(M112,'Tabla Impacto'!$B$221:$B$223,0))),'Tabla Impacto'!$F$223&amp;"Por favor no seleccionar los criterios de impacto(Afectación Económica o presupuestal y Pérdida Reputacional)",M112)</f>
        <v xml:space="preserve"> El riesgo afecta la imagen de la entidad internamente, de conocimiento general, nivel interno, de junta directiva y accionistas y/o de proveedores</v>
      </c>
      <c r="O112" s="326" t="str">
        <f>IF(OR(N112='Tabla Impacto'!$C$11,N112='Tabla Impacto'!$D$11),"Leve",IF(OR(N112='Tabla Impacto'!$C$12,N112='Tabla Impacto'!$D$12),"Menor",IF(OR(N112='Tabla Impacto'!$C$13,N112='Tabla Impacto'!$D$13),"Moderado",IF(OR(N112='Tabla Impacto'!$C$14,N112='Tabla Impacto'!$D$14),"Mayor",IF(OR(N112='Tabla Impacto'!$C$15,N112='Tabla Impacto'!$D$15),"Catastrófico","")))))</f>
        <v>Menor</v>
      </c>
      <c r="P112" s="329">
        <f>IF(O112="","",IF(O112="Leve",0.2,IF(O112="Menor",0.4,IF(O112="Moderado",0.6,IF(O112="Mayor",0.8,IF(O112="Catastrófico",1,))))))</f>
        <v>0.4</v>
      </c>
      <c r="Q112" s="332" t="str">
        <f>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Moderado</v>
      </c>
      <c r="R112" s="179">
        <v>1</v>
      </c>
      <c r="S112" s="175" t="s">
        <v>337</v>
      </c>
      <c r="T112" s="176" t="str">
        <f t="shared" ref="T112:T123" si="178">IF(OR(U112="Preventivo",U112="Detectivo"),"Probabilidad",IF(U112="Correctivo","Impacto",""))</f>
        <v>Probabilidad</v>
      </c>
      <c r="U112" s="180" t="s">
        <v>14</v>
      </c>
      <c r="V112" s="180" t="s">
        <v>9</v>
      </c>
      <c r="W112" s="181" t="str">
        <f t="shared" ref="W112:W122" si="179">IF(AND(U112="Preventivo",V112="Automático"),"50%",IF(AND(U112="Preventivo",V112="Manual"),"40%",IF(AND(U112="Detectivo",V112="Automático"),"40%",IF(AND(U112="Detectivo",V112="Manual"),"30%",IF(AND(U112="Correctivo",V112="Automático"),"35%",IF(AND(U112="Correctivo",V112="Manual"),"25%",""))))))</f>
        <v>40%</v>
      </c>
      <c r="X112" s="180" t="s">
        <v>19</v>
      </c>
      <c r="Y112" s="180" t="s">
        <v>22</v>
      </c>
      <c r="Z112" s="180" t="s">
        <v>110</v>
      </c>
      <c r="AA112" s="155">
        <f t="shared" ref="AA112:AA121" si="180">IFERROR(IF(T112="Probabilidad",(L112-(+L112*W112)),IF(T112="Impacto",L112,"")),"")</f>
        <v>0.36</v>
      </c>
      <c r="AB112" s="169" t="str">
        <f t="shared" ref="AB112:AB122" si="181">IFERROR(IF(AA112="","",IF(AA112&lt;=0.2,"Muy Baja",IF(AA112&lt;=0.4,"Baja",IF(AA112&lt;=0.6,"Media",IF(AA112&lt;=0.8,"Alta","Muy Alta"))))),"")</f>
        <v>Baja</v>
      </c>
      <c r="AC112" s="170">
        <f t="shared" ref="AC112:AC122" si="182">+AA112</f>
        <v>0.36</v>
      </c>
      <c r="AD112" s="169" t="str">
        <f t="shared" ref="AD112:AD122" si="183">IFERROR(IF(AE112="","",IF(AE112&lt;=0.2,"Leve",IF(AE112&lt;=0.4,"Menor",IF(AE112&lt;=0.6,"Moderado",IF(AE112&lt;=0.8,"Mayor","Catastrófico"))))),"")</f>
        <v>Menor</v>
      </c>
      <c r="AE112" s="170">
        <f t="shared" ref="AE112:AE122" si="184">IFERROR(IF(T112="Impacto",(P112-(+P112*W112)),IF(T112="Probabilidad",P112,"")),"")</f>
        <v>0.4</v>
      </c>
      <c r="AF112" s="171" t="str">
        <f t="shared" ref="AF112:AF122" si="185">IFERROR(IF(OR(AND(AB112="Muy Baja",AD112="Leve"),AND(AB112="Muy Baja",AD112="Menor"),AND(AB112="Baja",AD112="Leve")),"Bajo",IF(OR(AND(AB112="Muy baja",AD112="Moderado"),AND(AB112="Baja",AD112="Menor"),AND(AB112="Baja",AD112="Moderado"),AND(AB112="Media",AD112="Leve"),AND(AB112="Media",AD112="Menor"),AND(AB112="Media",AD112="Moderado"),AND(AB112="Alta",AD112="Leve"),AND(AB112="Alta",AD112="Menor")),"Moderado",IF(OR(AND(AB112="Muy Baja",AD112="Mayor"),AND(AB112="Baja",AD112="Mayor"),AND(AB112="Media",AD112="Mayor"),AND(AB112="Alta",AD112="Moderado"),AND(AB112="Alta",AD112="Mayor"),AND(AB112="Muy Alta",AD112="Leve"),AND(AB112="Muy Alta",AD112="Menor"),AND(AB112="Muy Alta",AD112="Moderado"),AND(AB112="Muy Alta",AD112="Mayor")),"Alto",IF(OR(AND(AB112="Muy Baja",AD112="Catastrófico"),AND(AB112="Baja",AD112="Catastrófico"),AND(AB112="Media",AD112="Catastrófico"),AND(AB112="Alta",AD112="Catastrófico"),AND(AB112="Muy Alta",AD112="Catastrófico")),"Extremo","")))),"")</f>
        <v>Moderado</v>
      </c>
      <c r="AG112" s="172" t="s">
        <v>122</v>
      </c>
      <c r="AH112" s="175" t="s">
        <v>514</v>
      </c>
      <c r="AI112" s="165" t="s">
        <v>260</v>
      </c>
      <c r="AJ112" s="166">
        <v>44563</v>
      </c>
      <c r="AK112" s="166" t="s">
        <v>373</v>
      </c>
      <c r="AL112" s="175" t="s">
        <v>413</v>
      </c>
      <c r="AM112" s="165"/>
    </row>
    <row r="113" spans="1:39" s="164" customFormat="1" ht="151.5" customHeight="1" x14ac:dyDescent="0.35">
      <c r="A113" s="325"/>
      <c r="B113" s="323"/>
      <c r="C113" s="356"/>
      <c r="D113" s="363"/>
      <c r="E113" s="339"/>
      <c r="F113" s="339"/>
      <c r="G113" s="339"/>
      <c r="H113" s="342"/>
      <c r="I113" s="339"/>
      <c r="J113" s="336"/>
      <c r="K113" s="327"/>
      <c r="L113" s="330"/>
      <c r="M113" s="351"/>
      <c r="N113" s="185"/>
      <c r="O113" s="327"/>
      <c r="P113" s="330"/>
      <c r="Q113" s="333"/>
      <c r="R113" s="179">
        <v>2</v>
      </c>
      <c r="S113" s="175" t="s">
        <v>347</v>
      </c>
      <c r="T113" s="176" t="str">
        <f t="shared" si="178"/>
        <v>Probabilidad</v>
      </c>
      <c r="U113" s="180" t="s">
        <v>15</v>
      </c>
      <c r="V113" s="180" t="s">
        <v>9</v>
      </c>
      <c r="W113" s="181" t="str">
        <f t="shared" si="179"/>
        <v>30%</v>
      </c>
      <c r="X113" s="180" t="s">
        <v>19</v>
      </c>
      <c r="Y113" s="180" t="s">
        <v>22</v>
      </c>
      <c r="Z113" s="180" t="s">
        <v>110</v>
      </c>
      <c r="AA113" s="155">
        <f>IFERROR(IF(T113="Probabilidad",(AA112-(+AA112*W113)),IF(T113="Impacto",L113,"")),"")</f>
        <v>0.252</v>
      </c>
      <c r="AB113" s="169" t="str">
        <f t="shared" si="181"/>
        <v>Baja</v>
      </c>
      <c r="AC113" s="170">
        <f t="shared" si="182"/>
        <v>0.252</v>
      </c>
      <c r="AD113" s="169" t="str">
        <f t="shared" si="183"/>
        <v>Menor</v>
      </c>
      <c r="AE113" s="170">
        <v>0.4</v>
      </c>
      <c r="AF113" s="171" t="str">
        <f t="shared" si="185"/>
        <v>Moderado</v>
      </c>
      <c r="AG113" s="172" t="s">
        <v>122</v>
      </c>
      <c r="AH113" s="175" t="s">
        <v>514</v>
      </c>
      <c r="AI113" s="165" t="s">
        <v>260</v>
      </c>
      <c r="AJ113" s="166">
        <v>44563</v>
      </c>
      <c r="AK113" s="166" t="s">
        <v>373</v>
      </c>
      <c r="AL113" s="175" t="s">
        <v>413</v>
      </c>
      <c r="AM113" s="165"/>
    </row>
    <row r="114" spans="1:39" s="164" customFormat="1" ht="151.5" customHeight="1" x14ac:dyDescent="0.35">
      <c r="A114" s="325"/>
      <c r="B114" s="324"/>
      <c r="C114" s="356"/>
      <c r="D114" s="363"/>
      <c r="E114" s="339"/>
      <c r="F114" s="339"/>
      <c r="G114" s="339"/>
      <c r="H114" s="342"/>
      <c r="I114" s="339"/>
      <c r="J114" s="336"/>
      <c r="K114" s="328"/>
      <c r="L114" s="331"/>
      <c r="M114" s="351"/>
      <c r="N114" s="185"/>
      <c r="O114" s="328"/>
      <c r="P114" s="331"/>
      <c r="Q114" s="334"/>
      <c r="R114" s="179">
        <v>3</v>
      </c>
      <c r="S114" s="175"/>
      <c r="T114" s="176" t="str">
        <f t="shared" si="178"/>
        <v/>
      </c>
      <c r="U114" s="180"/>
      <c r="V114" s="180"/>
      <c r="W114" s="181"/>
      <c r="X114" s="180"/>
      <c r="Y114" s="180"/>
      <c r="Z114" s="180"/>
      <c r="AA114" s="155" t="str">
        <f>IFERROR(IF(T114="Probabilidad",(AA113-(+AA113*W114)),IF(T114="Impacto",L114,"")),"")</f>
        <v/>
      </c>
      <c r="AB114" s="169" t="str">
        <f t="shared" si="181"/>
        <v/>
      </c>
      <c r="AC114" s="170" t="str">
        <f t="shared" si="182"/>
        <v/>
      </c>
      <c r="AD114" s="169" t="str">
        <f t="shared" si="183"/>
        <v/>
      </c>
      <c r="AE114" s="170" t="str">
        <f t="shared" si="184"/>
        <v/>
      </c>
      <c r="AF114" s="171" t="str">
        <f t="shared" si="185"/>
        <v/>
      </c>
      <c r="AG114" s="172"/>
      <c r="AH114" s="175"/>
      <c r="AI114" s="165"/>
      <c r="AJ114" s="166"/>
      <c r="AK114" s="166"/>
      <c r="AL114" s="175"/>
      <c r="AM114" s="165"/>
    </row>
    <row r="115" spans="1:39" s="164" customFormat="1" ht="151.5" customHeight="1" x14ac:dyDescent="0.35">
      <c r="A115" s="325">
        <v>37</v>
      </c>
      <c r="B115" s="322" t="s">
        <v>317</v>
      </c>
      <c r="C115" s="355" t="s">
        <v>352</v>
      </c>
      <c r="D115" s="355" t="s">
        <v>411</v>
      </c>
      <c r="E115" s="338" t="s">
        <v>120</v>
      </c>
      <c r="F115" s="338" t="s">
        <v>469</v>
      </c>
      <c r="G115" s="338" t="s">
        <v>470</v>
      </c>
      <c r="H115" s="341" t="s">
        <v>338</v>
      </c>
      <c r="I115" s="338" t="s">
        <v>328</v>
      </c>
      <c r="J115" s="335">
        <v>12</v>
      </c>
      <c r="K115" s="326" t="str">
        <f>IF(J115&lt;=0,"",IF(J115&lt;=2,"Muy Baja",IF(J115&lt;=24,"Baja",IF(J115&lt;=500,"Media",IF(J115&lt;=5000,"Alta","Muy Alta")))))</f>
        <v>Baja</v>
      </c>
      <c r="L115" s="329">
        <f>IF(K115="","",IF(K115="Muy Baja",0.2,IF(K115="Baja",0.4,IF(K115="Media",0.6,IF(K115="Alta",0.8,IF(K115="Muy Alta",1,))))))</f>
        <v>0.4</v>
      </c>
      <c r="M115" s="350" t="s">
        <v>491</v>
      </c>
      <c r="N115" s="178" t="str">
        <f>IF(NOT(ISERROR(MATCH(M115,'Tabla Impacto'!$B$221:$B$223,0))),'Tabla Impacto'!$F$223&amp;"Por favor no seleccionar los criterios de impacto(Afectación Económica o presupuestal y Pérdida Reputacional)",M115)</f>
        <v xml:space="preserve"> El riesgo afecta la imagen de la entidad internamente, de conocimiento general, nivel interno, de junta directiva y accionistas y/o de proveedores</v>
      </c>
      <c r="O115" s="326" t="str">
        <f>IF(OR(N115='Tabla Impacto'!$C$11,N115='Tabla Impacto'!$D$11),"Leve",IF(OR(N115='Tabla Impacto'!$C$12,N115='Tabla Impacto'!$D$12),"Menor",IF(OR(N115='Tabla Impacto'!$C$13,N115='Tabla Impacto'!$D$13),"Moderado",IF(OR(N115='Tabla Impacto'!$C$14,N115='Tabla Impacto'!$D$14),"Mayor",IF(OR(N115='Tabla Impacto'!$C$15,N115='Tabla Impacto'!$D$15),"Catastrófico","")))))</f>
        <v>Menor</v>
      </c>
      <c r="P115" s="329">
        <f>IF(O115="","",IF(O115="Leve",0.2,IF(O115="Menor",0.4,IF(O115="Moderado",0.6,IF(O115="Mayor",0.8,IF(O115="Catastrófico",1,))))))</f>
        <v>0.4</v>
      </c>
      <c r="Q115" s="332" t="str">
        <f>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Moderado</v>
      </c>
      <c r="R115" s="179">
        <v>1</v>
      </c>
      <c r="S115" s="175" t="s">
        <v>515</v>
      </c>
      <c r="T115" s="176" t="str">
        <f t="shared" si="178"/>
        <v>Probabilidad</v>
      </c>
      <c r="U115" s="180" t="s">
        <v>14</v>
      </c>
      <c r="V115" s="180" t="s">
        <v>9</v>
      </c>
      <c r="W115" s="181" t="str">
        <f t="shared" si="179"/>
        <v>40%</v>
      </c>
      <c r="X115" s="180" t="s">
        <v>19</v>
      </c>
      <c r="Y115" s="180" t="s">
        <v>22</v>
      </c>
      <c r="Z115" s="180" t="s">
        <v>110</v>
      </c>
      <c r="AA115" s="155">
        <f t="shared" si="180"/>
        <v>0.24</v>
      </c>
      <c r="AB115" s="169" t="str">
        <f t="shared" si="181"/>
        <v>Baja</v>
      </c>
      <c r="AC115" s="170">
        <f t="shared" si="182"/>
        <v>0.24</v>
      </c>
      <c r="AD115" s="169" t="str">
        <f t="shared" si="183"/>
        <v>Menor</v>
      </c>
      <c r="AE115" s="170">
        <f t="shared" si="184"/>
        <v>0.4</v>
      </c>
      <c r="AF115" s="171" t="str">
        <f t="shared" si="185"/>
        <v>Moderado</v>
      </c>
      <c r="AG115" s="172" t="s">
        <v>122</v>
      </c>
      <c r="AH115" s="175" t="s">
        <v>516</v>
      </c>
      <c r="AI115" s="165" t="s">
        <v>203</v>
      </c>
      <c r="AJ115" s="166">
        <v>44568</v>
      </c>
      <c r="AK115" s="166" t="s">
        <v>373</v>
      </c>
      <c r="AL115" s="175" t="s">
        <v>414</v>
      </c>
      <c r="AM115" s="165"/>
    </row>
    <row r="116" spans="1:39" s="164" customFormat="1" ht="151.5" customHeight="1" x14ac:dyDescent="0.35">
      <c r="A116" s="325"/>
      <c r="B116" s="323"/>
      <c r="C116" s="356"/>
      <c r="D116" s="363"/>
      <c r="E116" s="339"/>
      <c r="F116" s="339"/>
      <c r="G116" s="339"/>
      <c r="H116" s="342"/>
      <c r="I116" s="339"/>
      <c r="J116" s="336"/>
      <c r="K116" s="327"/>
      <c r="L116" s="330"/>
      <c r="M116" s="351"/>
      <c r="N116" s="185"/>
      <c r="O116" s="327"/>
      <c r="P116" s="330"/>
      <c r="Q116" s="333"/>
      <c r="R116" s="179">
        <v>2</v>
      </c>
      <c r="S116" s="175" t="s">
        <v>361</v>
      </c>
      <c r="T116" s="176" t="str">
        <f t="shared" si="178"/>
        <v>Probabilidad</v>
      </c>
      <c r="U116" s="180" t="s">
        <v>15</v>
      </c>
      <c r="V116" s="180" t="s">
        <v>9</v>
      </c>
      <c r="W116" s="181" t="str">
        <f t="shared" si="179"/>
        <v>30%</v>
      </c>
      <c r="X116" s="180" t="s">
        <v>19</v>
      </c>
      <c r="Y116" s="180" t="s">
        <v>22</v>
      </c>
      <c r="Z116" s="180" t="s">
        <v>110</v>
      </c>
      <c r="AA116" s="155">
        <f>IFERROR(IF(T116="Probabilidad",(AA115-(+AA115*W116)),IF(T116="Impacto",L116,"")),"")</f>
        <v>0.16799999999999998</v>
      </c>
      <c r="AB116" s="169" t="str">
        <f t="shared" si="181"/>
        <v>Muy Baja</v>
      </c>
      <c r="AC116" s="170">
        <f t="shared" si="182"/>
        <v>0.16799999999999998</v>
      </c>
      <c r="AD116" s="169" t="str">
        <f t="shared" si="183"/>
        <v>Menor</v>
      </c>
      <c r="AE116" s="170">
        <v>0.4</v>
      </c>
      <c r="AF116" s="171" t="str">
        <f t="shared" si="185"/>
        <v>Bajo</v>
      </c>
      <c r="AG116" s="172" t="s">
        <v>122</v>
      </c>
      <c r="AH116" s="175" t="s">
        <v>517</v>
      </c>
      <c r="AI116" s="165" t="s">
        <v>203</v>
      </c>
      <c r="AJ116" s="166">
        <v>44564</v>
      </c>
      <c r="AK116" s="166" t="s">
        <v>373</v>
      </c>
      <c r="AL116" s="175" t="s">
        <v>414</v>
      </c>
      <c r="AM116" s="165"/>
    </row>
    <row r="117" spans="1:39" s="164" customFormat="1" ht="151.5" customHeight="1" x14ac:dyDescent="0.35">
      <c r="A117" s="325"/>
      <c r="B117" s="324"/>
      <c r="C117" s="356"/>
      <c r="D117" s="363"/>
      <c r="E117" s="339"/>
      <c r="F117" s="339"/>
      <c r="G117" s="339"/>
      <c r="H117" s="342"/>
      <c r="I117" s="339"/>
      <c r="J117" s="336"/>
      <c r="K117" s="328"/>
      <c r="L117" s="331"/>
      <c r="M117" s="351"/>
      <c r="N117" s="185"/>
      <c r="O117" s="328"/>
      <c r="P117" s="331"/>
      <c r="Q117" s="334"/>
      <c r="R117" s="179">
        <v>3</v>
      </c>
      <c r="S117" s="175"/>
      <c r="T117" s="176" t="str">
        <f t="shared" si="178"/>
        <v/>
      </c>
      <c r="U117" s="180"/>
      <c r="V117" s="180"/>
      <c r="W117" s="181"/>
      <c r="X117" s="180"/>
      <c r="Y117" s="180"/>
      <c r="Z117" s="180"/>
      <c r="AA117" s="155" t="str">
        <f>IFERROR(IF(T117="Probabilidad",(AA116-(+AA116*W117)),IF(T117="Impacto",L117,"")),"")</f>
        <v/>
      </c>
      <c r="AB117" s="169" t="str">
        <f t="shared" si="181"/>
        <v/>
      </c>
      <c r="AC117" s="170" t="str">
        <f t="shared" si="182"/>
        <v/>
      </c>
      <c r="AD117" s="169" t="str">
        <f t="shared" si="183"/>
        <v/>
      </c>
      <c r="AE117" s="170" t="str">
        <f t="shared" si="184"/>
        <v/>
      </c>
      <c r="AF117" s="171" t="str">
        <f t="shared" si="185"/>
        <v/>
      </c>
      <c r="AG117" s="172"/>
      <c r="AH117" s="175"/>
      <c r="AI117" s="165"/>
      <c r="AJ117" s="166"/>
      <c r="AK117" s="166"/>
      <c r="AL117" s="175"/>
      <c r="AM117" s="165"/>
    </row>
    <row r="118" spans="1:39" s="164" customFormat="1" ht="151.5" customHeight="1" x14ac:dyDescent="0.35">
      <c r="A118" s="325">
        <v>38</v>
      </c>
      <c r="B118" s="359" t="s">
        <v>317</v>
      </c>
      <c r="C118" s="355" t="s">
        <v>352</v>
      </c>
      <c r="D118" s="355" t="s">
        <v>415</v>
      </c>
      <c r="E118" s="338" t="s">
        <v>120</v>
      </c>
      <c r="F118" s="338" t="s">
        <v>471</v>
      </c>
      <c r="G118" s="338" t="s">
        <v>548</v>
      </c>
      <c r="H118" s="341" t="s">
        <v>560</v>
      </c>
      <c r="I118" s="338" t="s">
        <v>115</v>
      </c>
      <c r="J118" s="335">
        <v>3000</v>
      </c>
      <c r="K118" s="326" t="str">
        <f>IF(J118&lt;=0,"",IF(J118&lt;=2,"Muy Baja",IF(J118&lt;=24,"Baja",IF(J118&lt;=500,"Media",IF(J118&lt;=5000,"Alta","Muy Alta")))))</f>
        <v>Alta</v>
      </c>
      <c r="L118" s="329">
        <f>IF(K118="","",IF(K118="Muy Baja",0.2,IF(K118="Baja",0.4,IF(K118="Media",0.6,IF(K118="Alta",0.8,IF(K118="Muy Alta",1,))))))</f>
        <v>0.8</v>
      </c>
      <c r="M118" s="350" t="s">
        <v>485</v>
      </c>
      <c r="N118" s="178" t="str">
        <f>IF(NOT(ISERROR(MATCH(M118,'Tabla Impacto'!$B$221:$B$223,0))),'Tabla Impacto'!$F$223&amp;"Por favor no seleccionar los criterios de impacto(Afectación Económica o presupuestal y Pérdida Reputacional)",M118)</f>
        <v xml:space="preserve"> Entre 50 y 100 SMLMV </v>
      </c>
      <c r="O118" s="326" t="str">
        <f>IF(OR(N118='Tabla Impacto'!$C$11,N118='Tabla Impacto'!$D$11),"Leve",IF(OR(N118='Tabla Impacto'!$C$12,N118='Tabla Impacto'!$D$12),"Menor",IF(OR(N118='Tabla Impacto'!$C$13,N118='Tabla Impacto'!$D$13),"Moderado",IF(OR(N118='Tabla Impacto'!$C$14,N118='Tabla Impacto'!$D$14),"Mayor",IF(OR(N118='Tabla Impacto'!$C$15,N118='Tabla Impacto'!$D$15),"Catastrófico","")))))</f>
        <v>Moderado</v>
      </c>
      <c r="P118" s="329">
        <f>IF(O118="","",IF(O118="Leve",0.2,IF(O118="Menor",0.4,IF(O118="Moderado",0.6,IF(O118="Mayor",0.8,IF(O118="Catastrófico",1,))))))</f>
        <v>0.6</v>
      </c>
      <c r="Q118" s="332" t="str">
        <f>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Alto</v>
      </c>
      <c r="R118" s="179">
        <v>1</v>
      </c>
      <c r="S118" s="175" t="s">
        <v>362</v>
      </c>
      <c r="T118" s="176" t="str">
        <f t="shared" si="178"/>
        <v>Probabilidad</v>
      </c>
      <c r="U118" s="180" t="s">
        <v>14</v>
      </c>
      <c r="V118" s="180" t="s">
        <v>9</v>
      </c>
      <c r="W118" s="181" t="str">
        <f t="shared" si="179"/>
        <v>40%</v>
      </c>
      <c r="X118" s="180" t="s">
        <v>19</v>
      </c>
      <c r="Y118" s="180" t="s">
        <v>22</v>
      </c>
      <c r="Z118" s="180" t="s">
        <v>110</v>
      </c>
      <c r="AA118" s="155">
        <f t="shared" si="180"/>
        <v>0.48</v>
      </c>
      <c r="AB118" s="169" t="str">
        <f t="shared" si="181"/>
        <v>Media</v>
      </c>
      <c r="AC118" s="170">
        <f t="shared" si="182"/>
        <v>0.48</v>
      </c>
      <c r="AD118" s="169" t="str">
        <f t="shared" si="183"/>
        <v>Moderado</v>
      </c>
      <c r="AE118" s="170">
        <f t="shared" si="184"/>
        <v>0.6</v>
      </c>
      <c r="AF118" s="171" t="str">
        <f t="shared" si="185"/>
        <v>Moderado</v>
      </c>
      <c r="AG118" s="172" t="s">
        <v>122</v>
      </c>
      <c r="AH118" s="175" t="s">
        <v>518</v>
      </c>
      <c r="AI118" s="165" t="s">
        <v>203</v>
      </c>
      <c r="AJ118" s="166">
        <v>44564</v>
      </c>
      <c r="AK118" s="166" t="s">
        <v>373</v>
      </c>
      <c r="AL118" s="175" t="s">
        <v>413</v>
      </c>
      <c r="AM118" s="165"/>
    </row>
    <row r="119" spans="1:39" s="164" customFormat="1" ht="151.5" customHeight="1" x14ac:dyDescent="0.35">
      <c r="A119" s="325"/>
      <c r="B119" s="360"/>
      <c r="C119" s="356"/>
      <c r="D119" s="363"/>
      <c r="E119" s="339"/>
      <c r="F119" s="339"/>
      <c r="G119" s="339"/>
      <c r="H119" s="342"/>
      <c r="I119" s="339"/>
      <c r="J119" s="336"/>
      <c r="K119" s="327"/>
      <c r="L119" s="330"/>
      <c r="M119" s="351"/>
      <c r="N119" s="185"/>
      <c r="O119" s="327"/>
      <c r="P119" s="330"/>
      <c r="Q119" s="333"/>
      <c r="R119" s="179">
        <v>2</v>
      </c>
      <c r="S119" s="175" t="s">
        <v>416</v>
      </c>
      <c r="T119" s="176" t="str">
        <f t="shared" si="178"/>
        <v>Probabilidad</v>
      </c>
      <c r="U119" s="180" t="s">
        <v>14</v>
      </c>
      <c r="V119" s="180" t="s">
        <v>9</v>
      </c>
      <c r="W119" s="181" t="str">
        <f t="shared" si="179"/>
        <v>40%</v>
      </c>
      <c r="X119" s="180" t="s">
        <v>19</v>
      </c>
      <c r="Y119" s="180" t="s">
        <v>22</v>
      </c>
      <c r="Z119" s="180" t="s">
        <v>110</v>
      </c>
      <c r="AA119" s="155">
        <f>IFERROR(IF(T119="Probabilidad",(AA118-(+AA118*W119)),IF(T119="Impacto",L119,"")),"")</f>
        <v>0.28799999999999998</v>
      </c>
      <c r="AB119" s="169" t="str">
        <f t="shared" si="181"/>
        <v>Baja</v>
      </c>
      <c r="AC119" s="170">
        <f t="shared" si="182"/>
        <v>0.28799999999999998</v>
      </c>
      <c r="AD119" s="169" t="str">
        <f t="shared" si="183"/>
        <v>Menor</v>
      </c>
      <c r="AE119" s="170">
        <v>0.4</v>
      </c>
      <c r="AF119" s="171" t="str">
        <f t="shared" si="185"/>
        <v>Moderado</v>
      </c>
      <c r="AG119" s="172" t="s">
        <v>122</v>
      </c>
      <c r="AH119" s="175" t="s">
        <v>518</v>
      </c>
      <c r="AI119" s="165" t="s">
        <v>203</v>
      </c>
      <c r="AJ119" s="166">
        <v>44564</v>
      </c>
      <c r="AK119" s="166" t="s">
        <v>373</v>
      </c>
      <c r="AL119" s="175" t="s">
        <v>413</v>
      </c>
      <c r="AM119" s="165"/>
    </row>
    <row r="120" spans="1:39" s="164" customFormat="1" ht="151.5" customHeight="1" x14ac:dyDescent="0.35">
      <c r="A120" s="325"/>
      <c r="B120" s="361"/>
      <c r="C120" s="356"/>
      <c r="D120" s="363"/>
      <c r="E120" s="339"/>
      <c r="F120" s="339"/>
      <c r="G120" s="339"/>
      <c r="H120" s="342"/>
      <c r="I120" s="339"/>
      <c r="J120" s="336"/>
      <c r="K120" s="328"/>
      <c r="L120" s="331"/>
      <c r="M120" s="351"/>
      <c r="N120" s="185"/>
      <c r="O120" s="328"/>
      <c r="P120" s="331"/>
      <c r="Q120" s="334"/>
      <c r="R120" s="179">
        <v>3</v>
      </c>
      <c r="S120" s="175" t="s">
        <v>363</v>
      </c>
      <c r="T120" s="176" t="str">
        <f t="shared" si="178"/>
        <v>Probabilidad</v>
      </c>
      <c r="U120" s="180" t="s">
        <v>14</v>
      </c>
      <c r="V120" s="180" t="s">
        <v>9</v>
      </c>
      <c r="W120" s="181" t="str">
        <f t="shared" si="179"/>
        <v>40%</v>
      </c>
      <c r="X120" s="180" t="s">
        <v>19</v>
      </c>
      <c r="Y120" s="180" t="s">
        <v>22</v>
      </c>
      <c r="Z120" s="180" t="s">
        <v>110</v>
      </c>
      <c r="AA120" s="155">
        <f>IFERROR(IF(T120="Probabilidad",(AA119-(+A119*W120)),IF(T120="Impacto",L120,"")),"")</f>
        <v>0.28799999999999998</v>
      </c>
      <c r="AB120" s="169" t="str">
        <f t="shared" si="181"/>
        <v>Baja</v>
      </c>
      <c r="AC120" s="170">
        <f t="shared" si="182"/>
        <v>0.28799999999999998</v>
      </c>
      <c r="AD120" s="169" t="str">
        <f t="shared" si="183"/>
        <v>Menor</v>
      </c>
      <c r="AE120" s="170">
        <v>0.4</v>
      </c>
      <c r="AF120" s="171" t="str">
        <f t="shared" si="185"/>
        <v>Moderado</v>
      </c>
      <c r="AG120" s="172" t="s">
        <v>122</v>
      </c>
      <c r="AH120" s="175" t="s">
        <v>518</v>
      </c>
      <c r="AI120" s="165" t="s">
        <v>203</v>
      </c>
      <c r="AJ120" s="166">
        <v>44564</v>
      </c>
      <c r="AK120" s="166" t="s">
        <v>373</v>
      </c>
      <c r="AL120" s="175" t="s">
        <v>413</v>
      </c>
      <c r="AM120" s="165"/>
    </row>
    <row r="121" spans="1:39" s="164" customFormat="1" ht="151.5" customHeight="1" x14ac:dyDescent="0.35">
      <c r="A121" s="325">
        <v>39</v>
      </c>
      <c r="B121" s="322" t="s">
        <v>417</v>
      </c>
      <c r="C121" s="362" t="s">
        <v>418</v>
      </c>
      <c r="D121" s="355" t="s">
        <v>419</v>
      </c>
      <c r="E121" s="338" t="s">
        <v>120</v>
      </c>
      <c r="F121" s="357" t="s">
        <v>498</v>
      </c>
      <c r="G121" s="357" t="s">
        <v>420</v>
      </c>
      <c r="H121" s="341" t="s">
        <v>499</v>
      </c>
      <c r="I121" s="338" t="s">
        <v>328</v>
      </c>
      <c r="J121" s="335">
        <v>49</v>
      </c>
      <c r="K121" s="326" t="str">
        <f>IF(J121&lt;=0,"",IF(J121&lt;=2,"Muy Baja",IF(J121&lt;=24,"Baja",IF(J121&lt;=500,"Media",IF(J121&lt;=5000,"Alta","Muy Alta")))))</f>
        <v>Media</v>
      </c>
      <c r="L121" s="329">
        <f>IF(K121="","",IF(K121="Muy Baja",0.2,IF(K121="Baja",0.4,IF(K121="Media",0.6,IF(K121="Alta",0.8,IF(K121="Muy Alta",1,))))))</f>
        <v>0.6</v>
      </c>
      <c r="M121" s="350" t="s">
        <v>486</v>
      </c>
      <c r="N121" s="178" t="str">
        <f>IF(NOT(ISERROR(MATCH(M121,'Tabla Impacto'!$B$221:$B$223,0))),'Tabla Impacto'!$F$223&amp;"Por favor no seleccionar los criterios de impacto(Afectación Económica o presupuestal y Pérdida Reputacional)",M121)</f>
        <v xml:space="preserve"> El riesgo afecta la imagen de la entidad con algunos usuarios de relevancia frente al logro de los objetivos</v>
      </c>
      <c r="O121" s="326" t="str">
        <f>IF(OR(N121='Tabla Impacto'!$C$11,N121='Tabla Impacto'!$D$11),"Leve",IF(OR(N121='Tabla Impacto'!$C$12,N121='Tabla Impacto'!$D$12),"Menor",IF(OR(N121='Tabla Impacto'!$C$13,N121='Tabla Impacto'!$D$13),"Moderado",IF(OR(N121='Tabla Impacto'!$C$14,N121='Tabla Impacto'!$D$14),"Mayor",IF(OR(N121='Tabla Impacto'!$C$15,N121='Tabla Impacto'!$D$15),"Catastrófico","")))))</f>
        <v>Moderado</v>
      </c>
      <c r="P121" s="329">
        <f>IF(O121="","",IF(O121="Leve",0.2,IF(O121="Menor",0.4,IF(O121="Moderado",0.6,IF(O121="Mayor",0.8,IF(O121="Catastrófico",1,))))))</f>
        <v>0.6</v>
      </c>
      <c r="Q121" s="332" t="str">
        <f>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Moderado</v>
      </c>
      <c r="R121" s="179">
        <v>1</v>
      </c>
      <c r="S121" s="187" t="s">
        <v>500</v>
      </c>
      <c r="T121" s="176" t="str">
        <f t="shared" si="178"/>
        <v>Probabilidad</v>
      </c>
      <c r="U121" s="180" t="s">
        <v>14</v>
      </c>
      <c r="V121" s="180" t="s">
        <v>9</v>
      </c>
      <c r="W121" s="181" t="str">
        <f t="shared" si="179"/>
        <v>40%</v>
      </c>
      <c r="X121" s="180" t="s">
        <v>19</v>
      </c>
      <c r="Y121" s="180" t="s">
        <v>22</v>
      </c>
      <c r="Z121" s="180" t="s">
        <v>110</v>
      </c>
      <c r="AA121" s="155">
        <f t="shared" si="180"/>
        <v>0.36</v>
      </c>
      <c r="AB121" s="169" t="str">
        <f t="shared" si="181"/>
        <v>Baja</v>
      </c>
      <c r="AC121" s="170">
        <f t="shared" si="182"/>
        <v>0.36</v>
      </c>
      <c r="AD121" s="169" t="str">
        <f t="shared" si="183"/>
        <v>Moderado</v>
      </c>
      <c r="AE121" s="170">
        <f t="shared" si="184"/>
        <v>0.6</v>
      </c>
      <c r="AF121" s="171" t="str">
        <f t="shared" si="185"/>
        <v>Moderado</v>
      </c>
      <c r="AG121" s="172" t="s">
        <v>122</v>
      </c>
      <c r="AH121" s="188" t="s">
        <v>422</v>
      </c>
      <c r="AI121" s="167" t="s">
        <v>421</v>
      </c>
      <c r="AJ121" s="166" t="s">
        <v>196</v>
      </c>
      <c r="AK121" s="166" t="s">
        <v>423</v>
      </c>
      <c r="AL121" s="173" t="s">
        <v>554</v>
      </c>
      <c r="AM121" s="165"/>
    </row>
    <row r="122" spans="1:39" s="164" customFormat="1" ht="151.5" customHeight="1" x14ac:dyDescent="0.35">
      <c r="A122" s="325"/>
      <c r="B122" s="323"/>
      <c r="C122" s="363"/>
      <c r="D122" s="363"/>
      <c r="E122" s="339"/>
      <c r="F122" s="339"/>
      <c r="G122" s="339"/>
      <c r="H122" s="342"/>
      <c r="I122" s="339"/>
      <c r="J122" s="336"/>
      <c r="K122" s="327"/>
      <c r="L122" s="330"/>
      <c r="M122" s="351"/>
      <c r="N122" s="185"/>
      <c r="O122" s="327"/>
      <c r="P122" s="330"/>
      <c r="Q122" s="333"/>
      <c r="R122" s="179">
        <v>2</v>
      </c>
      <c r="S122" s="189" t="s">
        <v>527</v>
      </c>
      <c r="T122" s="176" t="str">
        <f t="shared" si="178"/>
        <v>Probabilidad</v>
      </c>
      <c r="U122" s="180" t="s">
        <v>15</v>
      </c>
      <c r="V122" s="180" t="s">
        <v>9</v>
      </c>
      <c r="W122" s="181" t="str">
        <f t="shared" si="179"/>
        <v>30%</v>
      </c>
      <c r="X122" s="180" t="s">
        <v>19</v>
      </c>
      <c r="Y122" s="180" t="s">
        <v>23</v>
      </c>
      <c r="Z122" s="180" t="s">
        <v>110</v>
      </c>
      <c r="AA122" s="155">
        <f>IFERROR(IF(T122="Probabilidad",(AA121-(+AA121*W122)),IF(T122="Impacto",L122,"")),"")</f>
        <v>0.252</v>
      </c>
      <c r="AB122" s="169" t="str">
        <f t="shared" si="181"/>
        <v>Baja</v>
      </c>
      <c r="AC122" s="170">
        <f t="shared" si="182"/>
        <v>0.252</v>
      </c>
      <c r="AD122" s="169" t="str">
        <f t="shared" si="183"/>
        <v>Leve</v>
      </c>
      <c r="AE122" s="170">
        <f t="shared" si="184"/>
        <v>0</v>
      </c>
      <c r="AF122" s="171" t="str">
        <f t="shared" si="185"/>
        <v>Bajo</v>
      </c>
      <c r="AG122" s="172" t="s">
        <v>122</v>
      </c>
      <c r="AH122" s="222" t="s">
        <v>501</v>
      </c>
      <c r="AI122" s="190" t="s">
        <v>203</v>
      </c>
      <c r="AJ122" s="166" t="s">
        <v>196</v>
      </c>
      <c r="AK122" s="166" t="s">
        <v>196</v>
      </c>
      <c r="AL122" s="188" t="s">
        <v>424</v>
      </c>
      <c r="AM122" s="165"/>
    </row>
    <row r="123" spans="1:39" s="164" customFormat="1" ht="151.5" customHeight="1" x14ac:dyDescent="0.35">
      <c r="A123" s="325"/>
      <c r="B123" s="324"/>
      <c r="C123" s="363"/>
      <c r="D123" s="363"/>
      <c r="E123" s="339"/>
      <c r="F123" s="339"/>
      <c r="G123" s="339"/>
      <c r="H123" s="342"/>
      <c r="I123" s="339"/>
      <c r="J123" s="336"/>
      <c r="K123" s="328"/>
      <c r="L123" s="331"/>
      <c r="M123" s="351"/>
      <c r="N123" s="185"/>
      <c r="O123" s="328"/>
      <c r="P123" s="331"/>
      <c r="Q123" s="334"/>
      <c r="R123" s="179">
        <v>3</v>
      </c>
      <c r="S123" s="175"/>
      <c r="T123" s="176" t="str">
        <f t="shared" si="178"/>
        <v/>
      </c>
      <c r="U123" s="180"/>
      <c r="V123" s="180"/>
      <c r="W123" s="181"/>
      <c r="X123" s="180"/>
      <c r="Y123" s="180"/>
      <c r="Z123" s="180"/>
      <c r="AA123" s="155"/>
      <c r="AB123" s="169"/>
      <c r="AC123" s="170"/>
      <c r="AD123" s="169"/>
      <c r="AE123" s="170"/>
      <c r="AF123" s="171"/>
      <c r="AG123" s="172"/>
      <c r="AH123" s="175"/>
      <c r="AI123" s="165"/>
      <c r="AJ123" s="166"/>
      <c r="AK123" s="166"/>
      <c r="AL123" s="175"/>
      <c r="AM123" s="165"/>
    </row>
    <row r="124" spans="1:39" s="164" customFormat="1" ht="151.5" customHeight="1" x14ac:dyDescent="0.35">
      <c r="A124" s="325">
        <v>40</v>
      </c>
      <c r="B124" s="322" t="s">
        <v>417</v>
      </c>
      <c r="C124" s="362" t="s">
        <v>418</v>
      </c>
      <c r="D124" s="355" t="s">
        <v>419</v>
      </c>
      <c r="E124" s="338" t="s">
        <v>120</v>
      </c>
      <c r="F124" s="357" t="s">
        <v>502</v>
      </c>
      <c r="G124" s="357" t="s">
        <v>503</v>
      </c>
      <c r="H124" s="341" t="s">
        <v>504</v>
      </c>
      <c r="I124" s="338" t="s">
        <v>328</v>
      </c>
      <c r="J124" s="335">
        <v>60</v>
      </c>
      <c r="K124" s="326" t="str">
        <f>IF(J124&lt;=0,"",IF(J124&lt;=2,"Muy Baja",IF(J124&lt;=24,"Baja",IF(J124&lt;=500,"Media",IF(J124&lt;=5000,"Alta","Muy Alta")))))</f>
        <v>Media</v>
      </c>
      <c r="L124" s="329">
        <f>IF(K124="","",IF(K124="Muy Baja",0.2,IF(K124="Baja",0.4,IF(K124="Media",0.6,IF(K124="Alta",0.8,IF(K124="Muy Alta",1,))))))</f>
        <v>0.6</v>
      </c>
      <c r="M124" s="350" t="s">
        <v>486</v>
      </c>
      <c r="N124" s="178" t="str">
        <f>IF(NOT(ISERROR(MATCH(M124,'Tabla Impacto'!$B$221:$B$223,0))),'Tabla Impacto'!$F$223&amp;"Por favor no seleccionar los criterios de impacto(Afectación Económica o presupuestal y Pérdida Reputacional)",M124)</f>
        <v xml:space="preserve"> El riesgo afecta la imagen de la entidad con algunos usuarios de relevancia frente al logro de los objetivos</v>
      </c>
      <c r="O124" s="326" t="str">
        <f>IF(OR(N124='Tabla Impacto'!$C$11,N124='Tabla Impacto'!$D$11),"Leve",IF(OR(N124='Tabla Impacto'!$C$12,N124='Tabla Impacto'!$D$12),"Menor",IF(OR(N124='Tabla Impacto'!$C$13,N124='Tabla Impacto'!$D$13),"Moderado",IF(OR(N124='Tabla Impacto'!$C$14,N124='Tabla Impacto'!$D$14),"Mayor",IF(OR(N124='Tabla Impacto'!$C$15,N124='Tabla Impacto'!$D$15),"Catastrófico","")))))</f>
        <v>Moderado</v>
      </c>
      <c r="P124" s="329">
        <f>IF(O124="","",IF(O124="Leve",0.2,IF(O124="Menor",0.4,IF(O124="Moderado",0.6,IF(O124="Mayor",0.8,IF(O124="Catastrófico",1,))))))</f>
        <v>0.6</v>
      </c>
      <c r="Q124" s="332" t="str">
        <f>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Moderado</v>
      </c>
      <c r="R124" s="179">
        <v>1</v>
      </c>
      <c r="S124" s="175" t="s">
        <v>512</v>
      </c>
      <c r="T124" s="176" t="str">
        <f t="shared" ref="T124:T153" si="186">IF(OR(U124="Preventivo",U124="Detectivo"),"Probabilidad",IF(U124="Correctivo","Impacto",""))</f>
        <v>Probabilidad</v>
      </c>
      <c r="U124" s="180" t="s">
        <v>15</v>
      </c>
      <c r="V124" s="180" t="s">
        <v>9</v>
      </c>
      <c r="W124" s="181" t="str">
        <f t="shared" ref="W124:W153" si="187">IF(AND(U124="Preventivo",V124="Automático"),"50%",IF(AND(U124="Preventivo",V124="Manual"),"40%",IF(AND(U124="Detectivo",V124="Automático"),"40%",IF(AND(U124="Detectivo",V124="Manual"),"30%",IF(AND(U124="Correctivo",V124="Automático"),"35%",IF(AND(U124="Correctivo",V124="Manual"),"25%",""))))))</f>
        <v>30%</v>
      </c>
      <c r="X124" s="180" t="s">
        <v>20</v>
      </c>
      <c r="Y124" s="180" t="s">
        <v>23</v>
      </c>
      <c r="Z124" s="180" t="s">
        <v>111</v>
      </c>
      <c r="AA124" s="155">
        <f t="shared" ref="AA124:AA153" si="188">IFERROR(IF(T124="Probabilidad",(L124-(+L124*W124)),IF(T124="Impacto",L124,"")),"")</f>
        <v>0.42</v>
      </c>
      <c r="AB124" s="169" t="str">
        <f t="shared" ref="AB124:AB153" si="189">IFERROR(IF(AA124="","",IF(AA124&lt;=0.2,"Muy Baja",IF(AA124&lt;=0.4,"Baja",IF(AA124&lt;=0.6,"Media",IF(AA124&lt;=0.8,"Alta","Muy Alta"))))),"")</f>
        <v>Media</v>
      </c>
      <c r="AC124" s="170">
        <f t="shared" ref="AC124:AC153" si="190">+AA124</f>
        <v>0.42</v>
      </c>
      <c r="AD124" s="169" t="str">
        <f t="shared" ref="AD124:AD153" si="191">IFERROR(IF(AE124="","",IF(AE124&lt;=0.2,"Leve",IF(AE124&lt;=0.4,"Menor",IF(AE124&lt;=0.6,"Moderado",IF(AE124&lt;=0.8,"Mayor","Catastrófico"))))),"")</f>
        <v>Moderado</v>
      </c>
      <c r="AE124" s="170">
        <f t="shared" ref="AE124:AE153" si="192">IFERROR(IF(T124="Impacto",(P124-(+P124*W124)),IF(T124="Probabilidad",P124,"")),"")</f>
        <v>0.6</v>
      </c>
      <c r="AF124" s="171" t="str">
        <f t="shared" ref="AF124:AF153" si="193">IFERROR(IF(OR(AND(AB124="Muy Baja",AD124="Leve"),AND(AB124="Muy Baja",AD124="Menor"),AND(AB124="Baja",AD124="Leve")),"Bajo",IF(OR(AND(AB124="Muy baja",AD124="Moderado"),AND(AB124="Baja",AD124="Menor"),AND(AB124="Baja",AD124="Moderado"),AND(AB124="Media",AD124="Leve"),AND(AB124="Media",AD124="Menor"),AND(AB124="Media",AD124="Moderado"),AND(AB124="Alta",AD124="Leve"),AND(AB124="Alta",AD124="Menor")),"Moderado",IF(OR(AND(AB124="Muy Baja",AD124="Mayor"),AND(AB124="Baja",AD124="Mayor"),AND(AB124="Media",AD124="Mayor"),AND(AB124="Alta",AD124="Moderado"),AND(AB124="Alta",AD124="Mayor"),AND(AB124="Muy Alta",AD124="Leve"),AND(AB124="Muy Alta",AD124="Menor"),AND(AB124="Muy Alta",AD124="Moderado"),AND(AB124="Muy Alta",AD124="Mayor")),"Alto",IF(OR(AND(AB124="Muy Baja",AD124="Catastrófico"),AND(AB124="Baja",AD124="Catastrófico"),AND(AB124="Media",AD124="Catastrófico"),AND(AB124="Alta",AD124="Catastrófico"),AND(AB124="Muy Alta",AD124="Catastrófico")),"Extremo","")))),"")</f>
        <v>Moderado</v>
      </c>
      <c r="AG124" s="172" t="s">
        <v>122</v>
      </c>
      <c r="AH124" s="175" t="s">
        <v>505</v>
      </c>
      <c r="AI124" s="165" t="s">
        <v>421</v>
      </c>
      <c r="AJ124" s="166" t="s">
        <v>196</v>
      </c>
      <c r="AK124" s="166" t="s">
        <v>196</v>
      </c>
      <c r="AL124" s="175" t="s">
        <v>425</v>
      </c>
      <c r="AM124" s="165"/>
    </row>
    <row r="125" spans="1:39" s="164" customFormat="1" ht="151.5" customHeight="1" x14ac:dyDescent="0.35">
      <c r="A125" s="325"/>
      <c r="B125" s="323"/>
      <c r="C125" s="363"/>
      <c r="D125" s="363"/>
      <c r="E125" s="339"/>
      <c r="F125" s="339"/>
      <c r="G125" s="339"/>
      <c r="H125" s="342"/>
      <c r="I125" s="339"/>
      <c r="J125" s="336"/>
      <c r="K125" s="327"/>
      <c r="L125" s="330"/>
      <c r="M125" s="351"/>
      <c r="N125" s="185"/>
      <c r="O125" s="327"/>
      <c r="P125" s="330"/>
      <c r="Q125" s="333"/>
      <c r="R125" s="179">
        <v>2</v>
      </c>
      <c r="S125" s="175"/>
      <c r="T125" s="176" t="str">
        <f t="shared" si="186"/>
        <v/>
      </c>
      <c r="U125" s="180"/>
      <c r="V125" s="180"/>
      <c r="W125" s="181"/>
      <c r="X125" s="180"/>
      <c r="Y125" s="180"/>
      <c r="Z125" s="180"/>
      <c r="AA125" s="155" t="str">
        <f>IFERROR(IF(T125="Probabilidad",(AA124-(+AA124*W125)),IF(T125="Impacto",L125,"")),"")</f>
        <v/>
      </c>
      <c r="AB125" s="169" t="str">
        <f t="shared" si="189"/>
        <v/>
      </c>
      <c r="AC125" s="170" t="str">
        <f t="shared" si="190"/>
        <v/>
      </c>
      <c r="AD125" s="169" t="str">
        <f t="shared" si="191"/>
        <v/>
      </c>
      <c r="AE125" s="170" t="str">
        <f t="shared" si="192"/>
        <v/>
      </c>
      <c r="AF125" s="171" t="str">
        <f t="shared" si="193"/>
        <v/>
      </c>
      <c r="AG125" s="172"/>
      <c r="AH125" s="119" t="s">
        <v>561</v>
      </c>
      <c r="AI125" s="144" t="s">
        <v>528</v>
      </c>
      <c r="AJ125" s="143" t="s">
        <v>196</v>
      </c>
      <c r="AK125" s="143" t="s">
        <v>196</v>
      </c>
      <c r="AL125" s="119" t="s">
        <v>425</v>
      </c>
      <c r="AM125" s="165"/>
    </row>
    <row r="126" spans="1:39" s="164" customFormat="1" ht="151.5" customHeight="1" x14ac:dyDescent="0.35">
      <c r="A126" s="325"/>
      <c r="B126" s="324"/>
      <c r="C126" s="363"/>
      <c r="D126" s="363"/>
      <c r="E126" s="339"/>
      <c r="F126" s="339"/>
      <c r="G126" s="339"/>
      <c r="H126" s="342"/>
      <c r="I126" s="339"/>
      <c r="J126" s="336"/>
      <c r="K126" s="328"/>
      <c r="L126" s="331"/>
      <c r="M126" s="351"/>
      <c r="N126" s="185"/>
      <c r="O126" s="328"/>
      <c r="P126" s="331"/>
      <c r="Q126" s="334"/>
      <c r="R126" s="179">
        <v>3</v>
      </c>
      <c r="S126" s="175"/>
      <c r="T126" s="176" t="str">
        <f t="shared" si="186"/>
        <v/>
      </c>
      <c r="U126" s="180"/>
      <c r="V126" s="180"/>
      <c r="W126" s="181"/>
      <c r="X126" s="180"/>
      <c r="Y126" s="180"/>
      <c r="Z126" s="180"/>
      <c r="AA126" s="155" t="str">
        <f>IFERROR(IF(T126="Probabilidad",(AA125-(+AA125*W126)),IF(T126="Impacto",L126,"")),"")</f>
        <v/>
      </c>
      <c r="AB126" s="169" t="str">
        <f t="shared" si="189"/>
        <v/>
      </c>
      <c r="AC126" s="170" t="str">
        <f t="shared" si="190"/>
        <v/>
      </c>
      <c r="AD126" s="169" t="str">
        <f t="shared" si="191"/>
        <v/>
      </c>
      <c r="AE126" s="170" t="str">
        <f t="shared" si="192"/>
        <v/>
      </c>
      <c r="AF126" s="171" t="str">
        <f t="shared" si="193"/>
        <v/>
      </c>
      <c r="AG126" s="172"/>
      <c r="AH126" s="175"/>
      <c r="AI126" s="165"/>
      <c r="AJ126" s="166"/>
      <c r="AK126" s="166"/>
      <c r="AL126" s="175"/>
      <c r="AM126" s="165"/>
    </row>
    <row r="127" spans="1:39" s="164" customFormat="1" ht="151.5" customHeight="1" x14ac:dyDescent="0.35">
      <c r="A127" s="325">
        <v>41</v>
      </c>
      <c r="B127" s="322" t="s">
        <v>417</v>
      </c>
      <c r="C127" s="362" t="s">
        <v>418</v>
      </c>
      <c r="D127" s="355" t="s">
        <v>419</v>
      </c>
      <c r="E127" s="338" t="s">
        <v>120</v>
      </c>
      <c r="F127" s="357" t="s">
        <v>426</v>
      </c>
      <c r="G127" s="338" t="s">
        <v>495</v>
      </c>
      <c r="H127" s="364" t="s">
        <v>496</v>
      </c>
      <c r="I127" s="338" t="s">
        <v>116</v>
      </c>
      <c r="J127" s="335">
        <v>13</v>
      </c>
      <c r="K127" s="326" t="str">
        <f>IF(J127&lt;=0,"",IF(J127&lt;=2,"Muy Baja",IF(J127&lt;=24,"Baja",IF(J127&lt;=500,"Media",IF(J127&lt;=5000,"Alta","Muy Alta")))))</f>
        <v>Baja</v>
      </c>
      <c r="L127" s="329">
        <f>IF(K127="","",IF(K127="Muy Baja",0.2,IF(K127="Baja",0.4,IF(K127="Media",0.6,IF(K127="Alta",0.8,IF(K127="Muy Alta",1,))))))</f>
        <v>0.4</v>
      </c>
      <c r="M127" s="350" t="s">
        <v>486</v>
      </c>
      <c r="N127" s="178" t="str">
        <f>IF(NOT(ISERROR(MATCH(M127,'Tabla Impacto'!$B$221:$B$223,0))),'Tabla Impacto'!$F$223&amp;"Por favor no seleccionar los criterios de impacto(Afectación Económica o presupuestal y Pérdida Reputacional)",M127)</f>
        <v xml:space="preserve"> El riesgo afecta la imagen de la entidad con algunos usuarios de relevancia frente al logro de los objetivos</v>
      </c>
      <c r="O127" s="326" t="str">
        <f>IF(OR(N127='Tabla Impacto'!$C$11,N127='Tabla Impacto'!$D$11),"Leve",IF(OR(N127='Tabla Impacto'!$C$12,N127='Tabla Impacto'!$D$12),"Menor",IF(OR(N127='Tabla Impacto'!$C$13,N127='Tabla Impacto'!$D$13),"Moderado",IF(OR(N127='Tabla Impacto'!$C$14,N127='Tabla Impacto'!$D$14),"Mayor",IF(OR(N127='Tabla Impacto'!$C$15,N127='Tabla Impacto'!$D$15),"Catastrófico","")))))</f>
        <v>Moderado</v>
      </c>
      <c r="P127" s="329">
        <f>IF(O127="","",IF(O127="Leve",0.2,IF(O127="Menor",0.4,IF(O127="Moderado",0.6,IF(O127="Mayor",0.8,IF(O127="Catastrófico",1,))))))</f>
        <v>0.6</v>
      </c>
      <c r="Q127" s="332" t="str">
        <f>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Moderado</v>
      </c>
      <c r="R127" s="179">
        <v>1</v>
      </c>
      <c r="S127" s="191" t="s">
        <v>506</v>
      </c>
      <c r="T127" s="176" t="str">
        <f t="shared" si="186"/>
        <v>Probabilidad</v>
      </c>
      <c r="U127" s="180" t="s">
        <v>15</v>
      </c>
      <c r="V127" s="180" t="s">
        <v>9</v>
      </c>
      <c r="W127" s="181" t="str">
        <f t="shared" si="187"/>
        <v>30%</v>
      </c>
      <c r="X127" s="180" t="s">
        <v>20</v>
      </c>
      <c r="Y127" s="180" t="s">
        <v>22</v>
      </c>
      <c r="Z127" s="180" t="s">
        <v>110</v>
      </c>
      <c r="AA127" s="155">
        <f t="shared" si="188"/>
        <v>0.28000000000000003</v>
      </c>
      <c r="AB127" s="169" t="str">
        <f t="shared" si="189"/>
        <v>Baja</v>
      </c>
      <c r="AC127" s="170">
        <f t="shared" si="190"/>
        <v>0.28000000000000003</v>
      </c>
      <c r="AD127" s="169" t="str">
        <f t="shared" si="191"/>
        <v>Moderado</v>
      </c>
      <c r="AE127" s="170">
        <f t="shared" si="192"/>
        <v>0.6</v>
      </c>
      <c r="AF127" s="171" t="str">
        <f t="shared" si="193"/>
        <v>Moderado</v>
      </c>
      <c r="AG127" s="172" t="s">
        <v>122</v>
      </c>
      <c r="AH127" s="175" t="s">
        <v>507</v>
      </c>
      <c r="AI127" s="165" t="s">
        <v>212</v>
      </c>
      <c r="AJ127" s="166" t="s">
        <v>196</v>
      </c>
      <c r="AK127" s="166" t="s">
        <v>196</v>
      </c>
      <c r="AL127" s="175" t="s">
        <v>427</v>
      </c>
      <c r="AM127" s="165"/>
    </row>
    <row r="128" spans="1:39" s="164" customFormat="1" ht="151.5" customHeight="1" x14ac:dyDescent="0.35">
      <c r="A128" s="325"/>
      <c r="B128" s="323"/>
      <c r="C128" s="363"/>
      <c r="D128" s="363"/>
      <c r="E128" s="339"/>
      <c r="F128" s="339"/>
      <c r="G128" s="339"/>
      <c r="H128" s="342"/>
      <c r="I128" s="339"/>
      <c r="J128" s="336"/>
      <c r="K128" s="327"/>
      <c r="L128" s="330"/>
      <c r="M128" s="351"/>
      <c r="N128" s="185"/>
      <c r="O128" s="327"/>
      <c r="P128" s="330"/>
      <c r="Q128" s="333"/>
      <c r="R128" s="179">
        <v>2</v>
      </c>
      <c r="S128" s="175"/>
      <c r="T128" s="176" t="str">
        <f t="shared" si="186"/>
        <v/>
      </c>
      <c r="U128" s="180"/>
      <c r="V128" s="180"/>
      <c r="W128" s="181"/>
      <c r="X128" s="180"/>
      <c r="Y128" s="180"/>
      <c r="Z128" s="180"/>
      <c r="AA128" s="155" t="str">
        <f>IFERROR(IF(T128="Probabilidad",(AA127-(+AA127*W128)),IF(T128="Impacto",L128,"")),"")</f>
        <v/>
      </c>
      <c r="AB128" s="169" t="str">
        <f t="shared" si="189"/>
        <v/>
      </c>
      <c r="AC128" s="170" t="str">
        <f t="shared" si="190"/>
        <v/>
      </c>
      <c r="AD128" s="169" t="str">
        <f t="shared" si="191"/>
        <v/>
      </c>
      <c r="AE128" s="170" t="str">
        <f t="shared" si="192"/>
        <v/>
      </c>
      <c r="AF128" s="171" t="str">
        <f t="shared" si="193"/>
        <v/>
      </c>
      <c r="AG128" s="172"/>
      <c r="AH128" s="175"/>
      <c r="AI128" s="165"/>
      <c r="AJ128" s="166"/>
      <c r="AK128" s="166"/>
      <c r="AL128" s="175"/>
      <c r="AM128" s="165"/>
    </row>
    <row r="129" spans="1:39" s="164" customFormat="1" ht="151.5" customHeight="1" x14ac:dyDescent="0.35">
      <c r="A129" s="325"/>
      <c r="B129" s="324"/>
      <c r="C129" s="363"/>
      <c r="D129" s="363"/>
      <c r="E129" s="339"/>
      <c r="F129" s="339"/>
      <c r="G129" s="339"/>
      <c r="H129" s="342"/>
      <c r="I129" s="339"/>
      <c r="J129" s="336"/>
      <c r="K129" s="328"/>
      <c r="L129" s="331"/>
      <c r="M129" s="351"/>
      <c r="N129" s="185"/>
      <c r="O129" s="328"/>
      <c r="P129" s="331"/>
      <c r="Q129" s="334"/>
      <c r="R129" s="179">
        <v>3</v>
      </c>
      <c r="S129" s="175"/>
      <c r="T129" s="176" t="str">
        <f t="shared" si="186"/>
        <v/>
      </c>
      <c r="U129" s="180"/>
      <c r="V129" s="180"/>
      <c r="W129" s="181"/>
      <c r="X129" s="180"/>
      <c r="Y129" s="180"/>
      <c r="Z129" s="180"/>
      <c r="AA129" s="155" t="str">
        <f>IFERROR(IF(T129="Probabilidad",(AA128-(+AA128*W129)),IF(T129="Impacto",L129,"")),"")</f>
        <v/>
      </c>
      <c r="AB129" s="169" t="str">
        <f t="shared" si="189"/>
        <v/>
      </c>
      <c r="AC129" s="170" t="str">
        <f t="shared" si="190"/>
        <v/>
      </c>
      <c r="AD129" s="169" t="str">
        <f t="shared" si="191"/>
        <v/>
      </c>
      <c r="AE129" s="170" t="str">
        <f t="shared" si="192"/>
        <v/>
      </c>
      <c r="AF129" s="171" t="str">
        <f t="shared" si="193"/>
        <v/>
      </c>
      <c r="AG129" s="172"/>
      <c r="AH129" s="175"/>
      <c r="AI129" s="165"/>
      <c r="AJ129" s="166"/>
      <c r="AK129" s="166"/>
      <c r="AL129" s="175"/>
      <c r="AM129" s="165"/>
    </row>
    <row r="130" spans="1:39" s="164" customFormat="1" ht="151.5" customHeight="1" x14ac:dyDescent="0.35">
      <c r="A130" s="325">
        <v>42</v>
      </c>
      <c r="B130" s="322" t="s">
        <v>318</v>
      </c>
      <c r="C130" s="355" t="s">
        <v>319</v>
      </c>
      <c r="D130" s="355" t="s">
        <v>320</v>
      </c>
      <c r="E130" s="338" t="s">
        <v>120</v>
      </c>
      <c r="F130" s="357" t="s">
        <v>474</v>
      </c>
      <c r="G130" s="338" t="s">
        <v>428</v>
      </c>
      <c r="H130" s="341" t="s">
        <v>429</v>
      </c>
      <c r="I130" s="338" t="s">
        <v>115</v>
      </c>
      <c r="J130" s="335">
        <v>53</v>
      </c>
      <c r="K130" s="326" t="str">
        <f>IF(J130&lt;=0,"",IF(J130&lt;=2,"Muy Baja",IF(J130&lt;=24,"Baja",IF(J130&lt;=500,"Media",IF(J130&lt;=5000,"Alta","Muy Alta")))))</f>
        <v>Media</v>
      </c>
      <c r="L130" s="329">
        <f>IF(K130="","",IF(K130="Muy Baja",0.2,IF(K130="Baja",0.4,IF(K130="Media",0.6,IF(K130="Alta",0.8,IF(K130="Muy Alta",1,))))))</f>
        <v>0.6</v>
      </c>
      <c r="M130" s="350" t="s">
        <v>493</v>
      </c>
      <c r="N130" s="178" t="str">
        <f>IF(NOT(ISERROR(MATCH(M130,'Tabla Impacto'!$B$221:$B$223,0))),'Tabla Impacto'!$F$223&amp;"Por favor no seleccionar los criterios de impacto(Afectación Económica o presupuestal y Pérdida Reputacional)",M130)</f>
        <v xml:space="preserve"> El riesgo afecta la imagen de la entidad con efecto publicitario sostenido a nivel de sector administrativo, nivel departamental o municipal</v>
      </c>
      <c r="O130" s="326" t="str">
        <f>IF(OR(N130='Tabla Impacto'!$C$11,N130='Tabla Impacto'!$D$11),"Leve",IF(OR(N130='Tabla Impacto'!$C$12,N130='Tabla Impacto'!$D$12),"Menor",IF(OR(N130='Tabla Impacto'!$C$13,N130='Tabla Impacto'!$D$13),"Moderado",IF(OR(N130='Tabla Impacto'!$C$14,N130='Tabla Impacto'!$D$14),"Mayor",IF(OR(N130='Tabla Impacto'!$C$15,N130='Tabla Impacto'!$D$15),"Catastrófico","")))))</f>
        <v>Mayor</v>
      </c>
      <c r="P130" s="329">
        <f>IF(O130="","",IF(O130="Leve",0.2,IF(O130="Menor",0.4,IF(O130="Moderado",0.6,IF(O130="Mayor",0.8,IF(O130="Catastrófico",1,))))))</f>
        <v>0.8</v>
      </c>
      <c r="Q130" s="332" t="str">
        <f>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Alto</v>
      </c>
      <c r="R130" s="179">
        <v>1</v>
      </c>
      <c r="S130" s="175" t="s">
        <v>475</v>
      </c>
      <c r="T130" s="176" t="str">
        <f t="shared" si="186"/>
        <v>Probabilidad</v>
      </c>
      <c r="U130" s="180" t="s">
        <v>15</v>
      </c>
      <c r="V130" s="180" t="s">
        <v>9</v>
      </c>
      <c r="W130" s="181" t="str">
        <f t="shared" si="187"/>
        <v>30%</v>
      </c>
      <c r="X130" s="180" t="s">
        <v>19</v>
      </c>
      <c r="Y130" s="180" t="s">
        <v>22</v>
      </c>
      <c r="Z130" s="180" t="s">
        <v>110</v>
      </c>
      <c r="AA130" s="155">
        <f t="shared" si="188"/>
        <v>0.42</v>
      </c>
      <c r="AB130" s="169" t="str">
        <f t="shared" si="189"/>
        <v>Media</v>
      </c>
      <c r="AC130" s="170">
        <f t="shared" si="190"/>
        <v>0.42</v>
      </c>
      <c r="AD130" s="169" t="str">
        <f t="shared" si="191"/>
        <v>Mayor</v>
      </c>
      <c r="AE130" s="170">
        <f t="shared" si="192"/>
        <v>0.8</v>
      </c>
      <c r="AF130" s="171" t="str">
        <f t="shared" si="193"/>
        <v>Alto</v>
      </c>
      <c r="AG130" s="172" t="s">
        <v>122</v>
      </c>
      <c r="AH130" s="175" t="s">
        <v>477</v>
      </c>
      <c r="AI130" s="167" t="s">
        <v>260</v>
      </c>
      <c r="AJ130" s="166">
        <v>44562</v>
      </c>
      <c r="AK130" s="166" t="s">
        <v>373</v>
      </c>
      <c r="AL130" s="175" t="s">
        <v>476</v>
      </c>
      <c r="AM130" s="165"/>
    </row>
    <row r="131" spans="1:39" s="164" customFormat="1" ht="151.5" customHeight="1" x14ac:dyDescent="0.35">
      <c r="A131" s="325"/>
      <c r="B131" s="323"/>
      <c r="C131" s="356"/>
      <c r="D131" s="356"/>
      <c r="E131" s="339"/>
      <c r="F131" s="339"/>
      <c r="G131" s="339"/>
      <c r="H131" s="342"/>
      <c r="I131" s="339"/>
      <c r="J131" s="336"/>
      <c r="K131" s="327"/>
      <c r="L131" s="330"/>
      <c r="M131" s="351"/>
      <c r="N131" s="185"/>
      <c r="O131" s="327"/>
      <c r="P131" s="330"/>
      <c r="Q131" s="333"/>
      <c r="R131" s="179">
        <v>2</v>
      </c>
      <c r="S131" s="175" t="s">
        <v>508</v>
      </c>
      <c r="T131" s="176" t="str">
        <f t="shared" si="186"/>
        <v>Probabilidad</v>
      </c>
      <c r="U131" s="180" t="s">
        <v>14</v>
      </c>
      <c r="V131" s="180" t="s">
        <v>9</v>
      </c>
      <c r="W131" s="181" t="str">
        <f t="shared" si="187"/>
        <v>40%</v>
      </c>
      <c r="X131" s="180" t="s">
        <v>19</v>
      </c>
      <c r="Y131" s="180" t="s">
        <v>22</v>
      </c>
      <c r="Z131" s="180" t="s">
        <v>110</v>
      </c>
      <c r="AA131" s="155">
        <f>IFERROR(IF(T131="Probabilidad",(AA130-(+AA130*W131)),IF(T131="Impacto",L131,"")),"")</f>
        <v>0.252</v>
      </c>
      <c r="AB131" s="169" t="str">
        <f t="shared" si="189"/>
        <v>Baja</v>
      </c>
      <c r="AC131" s="170">
        <f t="shared" si="190"/>
        <v>0.252</v>
      </c>
      <c r="AD131" s="169" t="str">
        <f t="shared" si="191"/>
        <v>Mayor</v>
      </c>
      <c r="AE131" s="170">
        <v>0.8</v>
      </c>
      <c r="AF131" s="171" t="str">
        <f t="shared" si="193"/>
        <v>Alto</v>
      </c>
      <c r="AG131" s="172" t="s">
        <v>122</v>
      </c>
      <c r="AH131" s="175" t="s">
        <v>509</v>
      </c>
      <c r="AI131" s="165" t="s">
        <v>203</v>
      </c>
      <c r="AJ131" s="166">
        <v>44562</v>
      </c>
      <c r="AK131" s="166" t="s">
        <v>373</v>
      </c>
      <c r="AL131" s="175" t="s">
        <v>476</v>
      </c>
      <c r="AM131" s="165"/>
    </row>
    <row r="132" spans="1:39" s="164" customFormat="1" ht="151.5" customHeight="1" x14ac:dyDescent="0.35">
      <c r="A132" s="325"/>
      <c r="B132" s="324"/>
      <c r="C132" s="356"/>
      <c r="D132" s="356"/>
      <c r="E132" s="339"/>
      <c r="F132" s="339"/>
      <c r="G132" s="339"/>
      <c r="H132" s="342"/>
      <c r="I132" s="339"/>
      <c r="J132" s="336"/>
      <c r="K132" s="328"/>
      <c r="L132" s="331"/>
      <c r="M132" s="351"/>
      <c r="N132" s="185"/>
      <c r="O132" s="328"/>
      <c r="P132" s="331"/>
      <c r="Q132" s="334"/>
      <c r="R132" s="179">
        <v>3</v>
      </c>
      <c r="S132" s="175" t="s">
        <v>323</v>
      </c>
      <c r="T132" s="176" t="str">
        <f t="shared" si="186"/>
        <v>Probabilidad</v>
      </c>
      <c r="U132" s="180" t="s">
        <v>14</v>
      </c>
      <c r="V132" s="180" t="s">
        <v>9</v>
      </c>
      <c r="W132" s="181" t="str">
        <f t="shared" si="187"/>
        <v>40%</v>
      </c>
      <c r="X132" s="180" t="s">
        <v>19</v>
      </c>
      <c r="Y132" s="180" t="s">
        <v>22</v>
      </c>
      <c r="Z132" s="180" t="s">
        <v>110</v>
      </c>
      <c r="AA132" s="155">
        <f>IFERROR(IF(T132="Probabilidad",(AA131-(+AA131*W132)),IF(T132="Impacto",L132,"")),"")</f>
        <v>0.1512</v>
      </c>
      <c r="AB132" s="169" t="str">
        <f t="shared" si="189"/>
        <v>Muy Baja</v>
      </c>
      <c r="AC132" s="170">
        <f t="shared" si="190"/>
        <v>0.1512</v>
      </c>
      <c r="AD132" s="169" t="str">
        <f t="shared" si="191"/>
        <v>Mayor</v>
      </c>
      <c r="AE132" s="170">
        <v>0.8</v>
      </c>
      <c r="AF132" s="171" t="str">
        <f t="shared" si="193"/>
        <v>Alto</v>
      </c>
      <c r="AG132" s="172" t="s">
        <v>122</v>
      </c>
      <c r="AH132" s="175" t="s">
        <v>509</v>
      </c>
      <c r="AI132" s="165" t="s">
        <v>203</v>
      </c>
      <c r="AJ132" s="166">
        <v>44562</v>
      </c>
      <c r="AK132" s="166" t="s">
        <v>373</v>
      </c>
      <c r="AL132" s="175" t="s">
        <v>476</v>
      </c>
      <c r="AM132" s="165"/>
    </row>
    <row r="133" spans="1:39" s="164" customFormat="1" ht="151.5" customHeight="1" x14ac:dyDescent="0.35">
      <c r="A133" s="325">
        <v>43</v>
      </c>
      <c r="B133" s="322" t="s">
        <v>318</v>
      </c>
      <c r="C133" s="355" t="s">
        <v>319</v>
      </c>
      <c r="D133" s="355" t="s">
        <v>320</v>
      </c>
      <c r="E133" s="338" t="s">
        <v>120</v>
      </c>
      <c r="F133" s="357" t="s">
        <v>324</v>
      </c>
      <c r="G133" s="357" t="s">
        <v>431</v>
      </c>
      <c r="H133" s="341" t="s">
        <v>348</v>
      </c>
      <c r="I133" s="338" t="s">
        <v>328</v>
      </c>
      <c r="J133" s="335">
        <v>56</v>
      </c>
      <c r="K133" s="326" t="str">
        <f>IF(J133&lt;=0,"",IF(J133&lt;=2,"Muy Baja",IF(J133&lt;=24,"Baja",IF(J133&lt;=500,"Media",IF(J133&lt;=5000,"Alta","Muy Alta")))))</f>
        <v>Media</v>
      </c>
      <c r="L133" s="329">
        <f>IF(K133="","",IF(K133="Muy Baja",0.2,IF(K133="Baja",0.4,IF(K133="Media",0.6,IF(K133="Alta",0.8,IF(K133="Muy Alta",1,))))))</f>
        <v>0.6</v>
      </c>
      <c r="M133" s="350" t="s">
        <v>486</v>
      </c>
      <c r="N133" s="178" t="str">
        <f>IF(NOT(ISERROR(MATCH(M133,'Tabla Impacto'!$B$221:$B$223,0))),'Tabla Impacto'!$F$223&amp;"Por favor no seleccionar los criterios de impacto(Afectación Económica o presupuestal y Pérdida Reputacional)",M133)</f>
        <v xml:space="preserve"> El riesgo afecta la imagen de la entidad con algunos usuarios de relevancia frente al logro de los objetivos</v>
      </c>
      <c r="O133" s="326" t="str">
        <f>IF(OR(N133='Tabla Impacto'!$C$11,N133='Tabla Impacto'!$D$11),"Leve",IF(OR(N133='Tabla Impacto'!$C$12,N133='Tabla Impacto'!$D$12),"Menor",IF(OR(N133='Tabla Impacto'!$C$13,N133='Tabla Impacto'!$D$13),"Moderado",IF(OR(N133='Tabla Impacto'!$C$14,N133='Tabla Impacto'!$D$14),"Mayor",IF(OR(N133='Tabla Impacto'!$C$15,N133='Tabla Impacto'!$D$15),"Catastrófico","")))))</f>
        <v>Moderado</v>
      </c>
      <c r="P133" s="329">
        <f>IF(O133="","",IF(O133="Leve",0.2,IF(O133="Menor",0.4,IF(O133="Moderado",0.6,IF(O133="Mayor",0.8,IF(O133="Catastrófico",1,))))))</f>
        <v>0.6</v>
      </c>
      <c r="Q133" s="332" t="str">
        <f>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Moderado</v>
      </c>
      <c r="R133" s="179">
        <v>1</v>
      </c>
      <c r="S133" s="175" t="s">
        <v>321</v>
      </c>
      <c r="T133" s="176" t="str">
        <f t="shared" si="186"/>
        <v>Probabilidad</v>
      </c>
      <c r="U133" s="180" t="s">
        <v>15</v>
      </c>
      <c r="V133" s="180" t="s">
        <v>9</v>
      </c>
      <c r="W133" s="181" t="str">
        <f t="shared" si="187"/>
        <v>30%</v>
      </c>
      <c r="X133" s="180" t="s">
        <v>20</v>
      </c>
      <c r="Y133" s="180" t="s">
        <v>23</v>
      </c>
      <c r="Z133" s="180" t="s">
        <v>111</v>
      </c>
      <c r="AA133" s="155">
        <f t="shared" si="188"/>
        <v>0.42</v>
      </c>
      <c r="AB133" s="169" t="str">
        <f t="shared" si="189"/>
        <v>Media</v>
      </c>
      <c r="AC133" s="170">
        <f t="shared" si="190"/>
        <v>0.42</v>
      </c>
      <c r="AD133" s="169" t="str">
        <f t="shared" si="191"/>
        <v>Moderado</v>
      </c>
      <c r="AE133" s="170">
        <f t="shared" si="192"/>
        <v>0.6</v>
      </c>
      <c r="AF133" s="171" t="str">
        <f t="shared" si="193"/>
        <v>Moderado</v>
      </c>
      <c r="AG133" s="172" t="s">
        <v>122</v>
      </c>
      <c r="AH133" s="175" t="s">
        <v>325</v>
      </c>
      <c r="AI133" s="167" t="s">
        <v>212</v>
      </c>
      <c r="AJ133" s="166">
        <v>44562</v>
      </c>
      <c r="AK133" s="166" t="s">
        <v>373</v>
      </c>
      <c r="AL133" s="175" t="s">
        <v>478</v>
      </c>
      <c r="AM133" s="165"/>
    </row>
    <row r="134" spans="1:39" s="164" customFormat="1" ht="151.5" customHeight="1" x14ac:dyDescent="0.35">
      <c r="A134" s="325"/>
      <c r="B134" s="323"/>
      <c r="C134" s="356"/>
      <c r="D134" s="356"/>
      <c r="E134" s="339"/>
      <c r="F134" s="339"/>
      <c r="G134" s="339"/>
      <c r="H134" s="342"/>
      <c r="I134" s="339"/>
      <c r="J134" s="336"/>
      <c r="K134" s="327"/>
      <c r="L134" s="330"/>
      <c r="M134" s="351"/>
      <c r="N134" s="185"/>
      <c r="O134" s="327"/>
      <c r="P134" s="330"/>
      <c r="Q134" s="333"/>
      <c r="R134" s="179">
        <v>2</v>
      </c>
      <c r="S134" s="175" t="s">
        <v>322</v>
      </c>
      <c r="T134" s="176" t="str">
        <f t="shared" si="186"/>
        <v>Probabilidad</v>
      </c>
      <c r="U134" s="180" t="s">
        <v>15</v>
      </c>
      <c r="V134" s="180" t="s">
        <v>9</v>
      </c>
      <c r="W134" s="181" t="str">
        <f t="shared" si="187"/>
        <v>30%</v>
      </c>
      <c r="X134" s="180" t="s">
        <v>20</v>
      </c>
      <c r="Y134" s="180" t="s">
        <v>23</v>
      </c>
      <c r="Z134" s="180" t="s">
        <v>111</v>
      </c>
      <c r="AA134" s="155">
        <f>IFERROR(IF(T134="Probabilidad",(AA133-(+AA133*W134)),IF(T134="Impacto",L134,"")),"")</f>
        <v>0.29399999999999998</v>
      </c>
      <c r="AB134" s="169" t="str">
        <f t="shared" si="189"/>
        <v>Baja</v>
      </c>
      <c r="AC134" s="170">
        <f t="shared" si="190"/>
        <v>0.29399999999999998</v>
      </c>
      <c r="AD134" s="169" t="str">
        <f t="shared" si="191"/>
        <v>Moderado</v>
      </c>
      <c r="AE134" s="170">
        <v>0.6</v>
      </c>
      <c r="AF134" s="171" t="str">
        <f t="shared" si="193"/>
        <v>Moderado</v>
      </c>
      <c r="AG134" s="172" t="s">
        <v>122</v>
      </c>
      <c r="AH134" s="175" t="s">
        <v>509</v>
      </c>
      <c r="AI134" s="165" t="s">
        <v>203</v>
      </c>
      <c r="AJ134" s="166">
        <v>44562</v>
      </c>
      <c r="AK134" s="166" t="s">
        <v>373</v>
      </c>
      <c r="AL134" s="175" t="s">
        <v>478</v>
      </c>
      <c r="AM134" s="165"/>
    </row>
    <row r="135" spans="1:39" s="164" customFormat="1" ht="151.5" customHeight="1" x14ac:dyDescent="0.35">
      <c r="A135" s="325"/>
      <c r="B135" s="324"/>
      <c r="C135" s="356"/>
      <c r="D135" s="356"/>
      <c r="E135" s="339"/>
      <c r="F135" s="339"/>
      <c r="G135" s="339"/>
      <c r="H135" s="342"/>
      <c r="I135" s="339"/>
      <c r="J135" s="336"/>
      <c r="K135" s="328"/>
      <c r="L135" s="331"/>
      <c r="M135" s="351"/>
      <c r="N135" s="185"/>
      <c r="O135" s="328"/>
      <c r="P135" s="331"/>
      <c r="Q135" s="334"/>
      <c r="R135" s="179">
        <v>3</v>
      </c>
      <c r="S135" s="175" t="s">
        <v>323</v>
      </c>
      <c r="T135" s="176" t="str">
        <f t="shared" si="186"/>
        <v>Probabilidad</v>
      </c>
      <c r="U135" s="180" t="s">
        <v>15</v>
      </c>
      <c r="V135" s="180" t="s">
        <v>9</v>
      </c>
      <c r="W135" s="181" t="str">
        <f t="shared" si="187"/>
        <v>30%</v>
      </c>
      <c r="X135" s="180" t="s">
        <v>20</v>
      </c>
      <c r="Y135" s="180" t="s">
        <v>23</v>
      </c>
      <c r="Z135" s="180" t="s">
        <v>111</v>
      </c>
      <c r="AA135" s="155">
        <f>IFERROR(IF(T135="Probabilidad",(AA134-(+AA134*W135)),IF(T135="Impacto",L135,"")),"")</f>
        <v>0.20579999999999998</v>
      </c>
      <c r="AB135" s="169" t="str">
        <f t="shared" si="189"/>
        <v>Baja</v>
      </c>
      <c r="AC135" s="170">
        <f t="shared" si="190"/>
        <v>0.20579999999999998</v>
      </c>
      <c r="AD135" s="169" t="str">
        <f t="shared" si="191"/>
        <v>Moderado</v>
      </c>
      <c r="AE135" s="170">
        <v>0.6</v>
      </c>
      <c r="AF135" s="171" t="str">
        <f t="shared" si="193"/>
        <v>Moderado</v>
      </c>
      <c r="AG135" s="172" t="s">
        <v>122</v>
      </c>
      <c r="AH135" s="175" t="s">
        <v>479</v>
      </c>
      <c r="AI135" s="165" t="s">
        <v>212</v>
      </c>
      <c r="AJ135" s="166">
        <v>44562</v>
      </c>
      <c r="AK135" s="166" t="s">
        <v>373</v>
      </c>
      <c r="AL135" s="175" t="s">
        <v>478</v>
      </c>
      <c r="AM135" s="165"/>
    </row>
    <row r="136" spans="1:39" s="164" customFormat="1" ht="151.5" customHeight="1" x14ac:dyDescent="0.35">
      <c r="A136" s="325">
        <v>44</v>
      </c>
      <c r="B136" s="359" t="s">
        <v>318</v>
      </c>
      <c r="C136" s="355" t="s">
        <v>319</v>
      </c>
      <c r="D136" s="355" t="s">
        <v>320</v>
      </c>
      <c r="E136" s="338" t="s">
        <v>120</v>
      </c>
      <c r="F136" s="338" t="s">
        <v>430</v>
      </c>
      <c r="G136" s="338" t="s">
        <v>432</v>
      </c>
      <c r="H136" s="341" t="s">
        <v>552</v>
      </c>
      <c r="I136" s="338" t="s">
        <v>115</v>
      </c>
      <c r="J136" s="335">
        <v>56</v>
      </c>
      <c r="K136" s="326" t="str">
        <f>IF(J136&lt;=0,"",IF(J136&lt;=2,"Muy Baja",IF(J136&lt;=24,"Baja",IF(J136&lt;=500,"Media",IF(J136&lt;=5000,"Alta","Muy Alta")))))</f>
        <v>Media</v>
      </c>
      <c r="L136" s="329">
        <f>IF(K136="","",IF(K136="Muy Baja",0.2,IF(K136="Baja",0.4,IF(K136="Media",0.6,IF(K136="Alta",0.8,IF(K136="Muy Alta",1,))))))</f>
        <v>0.6</v>
      </c>
      <c r="M136" s="350" t="s">
        <v>493</v>
      </c>
      <c r="N136" s="178" t="str">
        <f>IF(NOT(ISERROR(MATCH(M136,'Tabla Impacto'!$B$221:$B$223,0))),'Tabla Impacto'!$F$223&amp;"Por favor no seleccionar los criterios de impacto(Afectación Económica o presupuestal y Pérdida Reputacional)",M136)</f>
        <v xml:space="preserve"> El riesgo afecta la imagen de la entidad con efecto publicitario sostenido a nivel de sector administrativo, nivel departamental o municipal</v>
      </c>
      <c r="O136" s="358" t="str">
        <f>IF(OR(N136='Tabla Impacto'!$C$11,N136='Tabla Impacto'!$D$11),"Leve",IF(OR(N136='Tabla Impacto'!$C$12,N136='Tabla Impacto'!$D$12),"Menor",IF(OR(N136='Tabla Impacto'!$C$13,N136='Tabla Impacto'!$D$13),"Moderado",IF(OR(N136='Tabla Impacto'!$C$14,N136='Tabla Impacto'!$D$14),"Mayor",IF(OR(N136='Tabla Impacto'!$C$15,N136='Tabla Impacto'!$D$15),"Catastrófico","")))))</f>
        <v>Mayor</v>
      </c>
      <c r="P136" s="329">
        <f>IF(O136="","",IF(O136="Leve",0.2,IF(O136="Menor",0.4,IF(O136="Moderado",0.6,IF(O136="Mayor",0.8,IF(O136="Catastrófico",1,))))))</f>
        <v>0.8</v>
      </c>
      <c r="Q136" s="332" t="str">
        <f>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Alto</v>
      </c>
      <c r="R136" s="179">
        <v>1</v>
      </c>
      <c r="S136" s="175" t="s">
        <v>553</v>
      </c>
      <c r="T136" s="176" t="str">
        <f t="shared" si="186"/>
        <v>Probabilidad</v>
      </c>
      <c r="U136" s="180" t="s">
        <v>15</v>
      </c>
      <c r="V136" s="180" t="s">
        <v>9</v>
      </c>
      <c r="W136" s="181" t="str">
        <f t="shared" si="187"/>
        <v>30%</v>
      </c>
      <c r="X136" s="180" t="s">
        <v>20</v>
      </c>
      <c r="Y136" s="180" t="s">
        <v>23</v>
      </c>
      <c r="Z136" s="180" t="s">
        <v>111</v>
      </c>
      <c r="AA136" s="155">
        <f t="shared" si="188"/>
        <v>0.42</v>
      </c>
      <c r="AB136" s="169" t="str">
        <f t="shared" si="189"/>
        <v>Media</v>
      </c>
      <c r="AC136" s="170">
        <f t="shared" si="190"/>
        <v>0.42</v>
      </c>
      <c r="AD136" s="169" t="str">
        <f t="shared" si="191"/>
        <v>Mayor</v>
      </c>
      <c r="AE136" s="170">
        <f t="shared" si="192"/>
        <v>0.8</v>
      </c>
      <c r="AF136" s="171" t="str">
        <f t="shared" si="193"/>
        <v>Alto</v>
      </c>
      <c r="AG136" s="172" t="s">
        <v>122</v>
      </c>
      <c r="AH136" s="192" t="s">
        <v>480</v>
      </c>
      <c r="AI136" s="165" t="s">
        <v>198</v>
      </c>
      <c r="AJ136" s="166">
        <v>44562</v>
      </c>
      <c r="AK136" s="166" t="s">
        <v>373</v>
      </c>
      <c r="AL136" s="192" t="s">
        <v>481</v>
      </c>
      <c r="AM136" s="165"/>
    </row>
    <row r="137" spans="1:39" s="164" customFormat="1" ht="151.5" customHeight="1" x14ac:dyDescent="0.35">
      <c r="A137" s="325"/>
      <c r="B137" s="360"/>
      <c r="C137" s="356"/>
      <c r="D137" s="356"/>
      <c r="E137" s="339"/>
      <c r="F137" s="339"/>
      <c r="G137" s="339"/>
      <c r="H137" s="342"/>
      <c r="I137" s="339"/>
      <c r="J137" s="336"/>
      <c r="K137" s="327"/>
      <c r="L137" s="330"/>
      <c r="M137" s="351"/>
      <c r="N137" s="185"/>
      <c r="O137" s="327"/>
      <c r="P137" s="330"/>
      <c r="Q137" s="333"/>
      <c r="R137" s="179">
        <v>2</v>
      </c>
      <c r="S137" s="175"/>
      <c r="T137" s="159"/>
      <c r="U137" s="147"/>
      <c r="V137" s="147"/>
      <c r="W137" s="148"/>
      <c r="X137" s="147"/>
      <c r="Y137" s="147"/>
      <c r="Z137" s="147"/>
      <c r="AA137" s="149"/>
      <c r="AB137" s="135"/>
      <c r="AC137" s="150"/>
      <c r="AD137" s="135"/>
      <c r="AE137" s="150"/>
      <c r="AF137" s="151"/>
      <c r="AG137" s="152"/>
      <c r="AH137" s="175" t="s">
        <v>326</v>
      </c>
      <c r="AI137" s="165" t="s">
        <v>203</v>
      </c>
      <c r="AJ137" s="166">
        <v>44562</v>
      </c>
      <c r="AK137" s="166" t="s">
        <v>373</v>
      </c>
      <c r="AL137" s="192" t="s">
        <v>481</v>
      </c>
      <c r="AM137" s="165"/>
    </row>
    <row r="138" spans="1:39" s="164" customFormat="1" ht="151.5" customHeight="1" x14ac:dyDescent="0.35">
      <c r="A138" s="325"/>
      <c r="B138" s="361"/>
      <c r="C138" s="356"/>
      <c r="D138" s="356"/>
      <c r="E138" s="339"/>
      <c r="F138" s="339"/>
      <c r="G138" s="339"/>
      <c r="H138" s="342"/>
      <c r="I138" s="339"/>
      <c r="J138" s="336"/>
      <c r="K138" s="328"/>
      <c r="L138" s="331"/>
      <c r="M138" s="351"/>
      <c r="N138" s="185"/>
      <c r="O138" s="328"/>
      <c r="P138" s="331"/>
      <c r="Q138" s="334"/>
      <c r="R138" s="179">
        <v>3</v>
      </c>
      <c r="S138" s="175"/>
      <c r="T138" s="159"/>
      <c r="U138" s="147"/>
      <c r="V138" s="147"/>
      <c r="W138" s="148"/>
      <c r="X138" s="147"/>
      <c r="Y138" s="147"/>
      <c r="Z138" s="147"/>
      <c r="AA138" s="149"/>
      <c r="AB138" s="135"/>
      <c r="AC138" s="150"/>
      <c r="AD138" s="135"/>
      <c r="AE138" s="150"/>
      <c r="AF138" s="151"/>
      <c r="AG138" s="152"/>
      <c r="AH138" s="192" t="s">
        <v>510</v>
      </c>
      <c r="AI138" s="165" t="s">
        <v>203</v>
      </c>
      <c r="AJ138" s="166">
        <v>44562</v>
      </c>
      <c r="AK138" s="166" t="s">
        <v>373</v>
      </c>
      <c r="AL138" s="192" t="s">
        <v>481</v>
      </c>
      <c r="AM138" s="165"/>
    </row>
    <row r="139" spans="1:39" s="164" customFormat="1" ht="151.5" customHeight="1" x14ac:dyDescent="0.35">
      <c r="A139" s="325">
        <v>45</v>
      </c>
      <c r="B139" s="322" t="s">
        <v>574</v>
      </c>
      <c r="C139" s="322" t="s">
        <v>573</v>
      </c>
      <c r="D139" s="322" t="s">
        <v>575</v>
      </c>
      <c r="E139" s="338" t="s">
        <v>118</v>
      </c>
      <c r="F139" s="338" t="s">
        <v>579</v>
      </c>
      <c r="G139" s="338" t="s">
        <v>578</v>
      </c>
      <c r="H139" s="341" t="s">
        <v>570</v>
      </c>
      <c r="I139" s="338" t="s">
        <v>115</v>
      </c>
      <c r="J139" s="335">
        <v>10</v>
      </c>
      <c r="K139" s="326" t="str">
        <f>IF(J139&lt;=0,"",IF(J139&lt;=2,"Muy Baja",IF(J139&lt;=24,"Baja",IF(J139&lt;=500,"Media",IF(J139&lt;=5000,"Alta","Muy Alta")))))</f>
        <v>Baja</v>
      </c>
      <c r="L139" s="329">
        <f>IF(K139="","",IF(K139="Muy Baja",0.2,IF(K139="Baja",0.4,IF(K139="Media",0.6,IF(K139="Alta",0.8,IF(K139="Muy Alta",1,))))))</f>
        <v>0.4</v>
      </c>
      <c r="M139" s="350" t="s">
        <v>493</v>
      </c>
      <c r="N139" s="178" t="str">
        <f>IF(NOT(ISERROR(MATCH(M139,'Tabla Impacto'!$B$221:$B$223,0))),'Tabla Impacto'!$F$223&amp;"Por favor no seleccionar los criterios de impacto(Afectación Económica o presupuestal y Pérdida Reputacional)",M139)</f>
        <v xml:space="preserve"> El riesgo afecta la imagen de la entidad con efecto publicitario sostenido a nivel de sector administrativo, nivel departamental o municipal</v>
      </c>
      <c r="O139" s="326" t="str">
        <f>IF(OR(N139='Tabla Impacto'!$C$11,N139='Tabla Impacto'!$D$11),"Leve",IF(OR(N139='Tabla Impacto'!$C$12,N139='Tabla Impacto'!$D$12),"Menor",IF(OR(N139='Tabla Impacto'!$C$13,N139='Tabla Impacto'!$D$13),"Moderado",IF(OR(N139='Tabla Impacto'!$C$14,N139='Tabla Impacto'!$D$14),"Mayor",IF(OR(N139='Tabla Impacto'!$C$15,N139='Tabla Impacto'!$D$15),"Catastrófico","")))))</f>
        <v>Mayor</v>
      </c>
      <c r="P139" s="329">
        <f>IF(O139="","",IF(O139="Leve",0.2,IF(O139="Menor",0.4,IF(O139="Moderado",0.6,IF(O139="Mayor",0.8,IF(O139="Catastrófico",1,))))))</f>
        <v>0.8</v>
      </c>
      <c r="Q139" s="332" t="str">
        <f>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Alto</v>
      </c>
      <c r="R139" s="179">
        <v>1</v>
      </c>
      <c r="S139" s="175" t="s">
        <v>595</v>
      </c>
      <c r="T139" s="238" t="str">
        <f t="shared" si="186"/>
        <v>Probabilidad</v>
      </c>
      <c r="U139" s="180" t="s">
        <v>14</v>
      </c>
      <c r="V139" s="180" t="s">
        <v>9</v>
      </c>
      <c r="W139" s="181" t="str">
        <f t="shared" si="187"/>
        <v>40%</v>
      </c>
      <c r="X139" s="180" t="s">
        <v>19</v>
      </c>
      <c r="Y139" s="180" t="s">
        <v>22</v>
      </c>
      <c r="Z139" s="180" t="s">
        <v>110</v>
      </c>
      <c r="AA139" s="155">
        <f t="shared" si="188"/>
        <v>0.24</v>
      </c>
      <c r="AB139" s="169" t="str">
        <f t="shared" si="189"/>
        <v>Baja</v>
      </c>
      <c r="AC139" s="170">
        <f t="shared" si="190"/>
        <v>0.24</v>
      </c>
      <c r="AD139" s="169" t="str">
        <f t="shared" si="191"/>
        <v>Mayor</v>
      </c>
      <c r="AE139" s="170">
        <f t="shared" si="192"/>
        <v>0.8</v>
      </c>
      <c r="AF139" s="171" t="str">
        <f t="shared" si="193"/>
        <v>Alto</v>
      </c>
      <c r="AG139" s="172" t="s">
        <v>122</v>
      </c>
      <c r="AH139" s="167" t="s">
        <v>596</v>
      </c>
      <c r="AI139" s="165" t="s">
        <v>260</v>
      </c>
      <c r="AJ139" s="166" t="s">
        <v>286</v>
      </c>
      <c r="AK139" s="166" t="s">
        <v>287</v>
      </c>
      <c r="AL139" s="167" t="s">
        <v>580</v>
      </c>
      <c r="AM139" s="165"/>
    </row>
    <row r="140" spans="1:39" s="164" customFormat="1" ht="151.5" customHeight="1" x14ac:dyDescent="0.35">
      <c r="A140" s="325"/>
      <c r="B140" s="323"/>
      <c r="C140" s="323"/>
      <c r="D140" s="323"/>
      <c r="E140" s="339"/>
      <c r="F140" s="339"/>
      <c r="G140" s="339"/>
      <c r="H140" s="342"/>
      <c r="I140" s="339"/>
      <c r="J140" s="336"/>
      <c r="K140" s="327"/>
      <c r="L140" s="330"/>
      <c r="M140" s="351"/>
      <c r="N140" s="185"/>
      <c r="O140" s="327"/>
      <c r="P140" s="330"/>
      <c r="Q140" s="333"/>
      <c r="R140" s="179">
        <v>2</v>
      </c>
      <c r="S140" s="175"/>
      <c r="T140" s="176" t="str">
        <f t="shared" si="186"/>
        <v/>
      </c>
      <c r="U140" s="180"/>
      <c r="V140" s="180"/>
      <c r="W140" s="181" t="str">
        <f t="shared" si="187"/>
        <v/>
      </c>
      <c r="X140" s="180"/>
      <c r="Y140" s="180"/>
      <c r="Z140" s="180"/>
      <c r="AA140" s="155" t="str">
        <f t="shared" si="188"/>
        <v/>
      </c>
      <c r="AB140" s="169" t="str">
        <f t="shared" si="189"/>
        <v/>
      </c>
      <c r="AC140" s="170" t="str">
        <f t="shared" si="190"/>
        <v/>
      </c>
      <c r="AD140" s="169" t="str">
        <f t="shared" si="191"/>
        <v/>
      </c>
      <c r="AE140" s="170" t="str">
        <f t="shared" si="192"/>
        <v/>
      </c>
      <c r="AF140" s="171" t="str">
        <f t="shared" si="193"/>
        <v/>
      </c>
      <c r="AG140" s="172"/>
      <c r="AH140" s="167"/>
      <c r="AI140" s="165"/>
      <c r="AJ140" s="166"/>
      <c r="AK140" s="166"/>
      <c r="AL140" s="167"/>
      <c r="AM140" s="165"/>
    </row>
    <row r="141" spans="1:39" s="164" customFormat="1" ht="151.5" customHeight="1" x14ac:dyDescent="0.35">
      <c r="A141" s="325"/>
      <c r="B141" s="324"/>
      <c r="C141" s="324"/>
      <c r="D141" s="324"/>
      <c r="E141" s="340"/>
      <c r="F141" s="340"/>
      <c r="G141" s="340"/>
      <c r="H141" s="343"/>
      <c r="I141" s="340"/>
      <c r="J141" s="337"/>
      <c r="K141" s="328"/>
      <c r="L141" s="331"/>
      <c r="M141" s="352"/>
      <c r="N141" s="185"/>
      <c r="O141" s="328"/>
      <c r="P141" s="331"/>
      <c r="Q141" s="334"/>
      <c r="R141" s="179">
        <v>3</v>
      </c>
      <c r="S141" s="175"/>
      <c r="T141" s="176" t="str">
        <f t="shared" si="186"/>
        <v/>
      </c>
      <c r="U141" s="180"/>
      <c r="V141" s="180"/>
      <c r="W141" s="181" t="str">
        <f t="shared" si="187"/>
        <v/>
      </c>
      <c r="X141" s="180"/>
      <c r="Y141" s="180"/>
      <c r="Z141" s="180"/>
      <c r="AA141" s="155" t="str">
        <f t="shared" si="188"/>
        <v/>
      </c>
      <c r="AB141" s="169" t="str">
        <f t="shared" si="189"/>
        <v/>
      </c>
      <c r="AC141" s="170" t="str">
        <f t="shared" si="190"/>
        <v/>
      </c>
      <c r="AD141" s="169" t="str">
        <f t="shared" si="191"/>
        <v/>
      </c>
      <c r="AE141" s="170" t="str">
        <f t="shared" si="192"/>
        <v/>
      </c>
      <c r="AF141" s="171" t="str">
        <f t="shared" si="193"/>
        <v/>
      </c>
      <c r="AG141" s="172"/>
      <c r="AH141" s="167"/>
      <c r="AI141" s="165"/>
      <c r="AJ141" s="166"/>
      <c r="AK141" s="166"/>
      <c r="AL141" s="167"/>
      <c r="AM141" s="165"/>
    </row>
    <row r="142" spans="1:39" s="164" customFormat="1" ht="151.5" customHeight="1" x14ac:dyDescent="0.35">
      <c r="A142" s="325">
        <v>46</v>
      </c>
      <c r="B142" s="322" t="s">
        <v>574</v>
      </c>
      <c r="C142" s="322" t="s">
        <v>573</v>
      </c>
      <c r="D142" s="322" t="s">
        <v>575</v>
      </c>
      <c r="E142" s="338" t="s">
        <v>118</v>
      </c>
      <c r="F142" s="338" t="s">
        <v>576</v>
      </c>
      <c r="G142" s="338" t="s">
        <v>577</v>
      </c>
      <c r="H142" s="341" t="s">
        <v>571</v>
      </c>
      <c r="I142" s="338" t="s">
        <v>328</v>
      </c>
      <c r="J142" s="335">
        <v>20</v>
      </c>
      <c r="K142" s="326" t="str">
        <f>IF(J142&lt;=0,"",IF(J142&lt;=2,"Muy Baja",IF(J142&lt;=24,"Baja",IF(J142&lt;=500,"Media",IF(J142&lt;=5000,"Alta","Muy Alta")))))</f>
        <v>Baja</v>
      </c>
      <c r="L142" s="329">
        <f>IF(K142="","",IF(K142="Muy Baja",0.2,IF(K142="Baja",0.4,IF(K142="Media",0.6,IF(K142="Alta",0.8,IF(K142="Muy Alta",1,))))))</f>
        <v>0.4</v>
      </c>
      <c r="M142" s="350" t="s">
        <v>486</v>
      </c>
      <c r="N142" s="178" t="str">
        <f>IF(NOT(ISERROR(MATCH(M142,'Tabla Impacto'!$B$221:$B$223,0))),'Tabla Impacto'!$F$223&amp;"Por favor no seleccionar los criterios de impacto(Afectación Económica o presupuestal y Pérdida Reputacional)",M142)</f>
        <v xml:space="preserve"> El riesgo afecta la imagen de la entidad con algunos usuarios de relevancia frente al logro de los objetivos</v>
      </c>
      <c r="O142" s="326" t="str">
        <f>IF(OR(N142='Tabla Impacto'!$C$11,N142='Tabla Impacto'!$D$11),"Leve",IF(OR(N142='Tabla Impacto'!$C$12,N142='Tabla Impacto'!$D$12),"Menor",IF(OR(N142='Tabla Impacto'!$C$13,N142='Tabla Impacto'!$D$13),"Moderado",IF(OR(N142='Tabla Impacto'!$C$14,N142='Tabla Impacto'!$D$14),"Mayor",IF(OR(N142='Tabla Impacto'!$C$15,N142='Tabla Impacto'!$D$15),"Catastrófico","")))))</f>
        <v>Moderado</v>
      </c>
      <c r="P142" s="329">
        <f>IF(O142="","",IF(O142="Leve",0.2,IF(O142="Menor",0.4,IF(O142="Moderado",0.6,IF(O142="Mayor",0.8,IF(O142="Catastrófico",1,))))))</f>
        <v>0.6</v>
      </c>
      <c r="Q142" s="332" t="str">
        <f>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Moderado</v>
      </c>
      <c r="R142" s="179">
        <v>1</v>
      </c>
      <c r="S142" s="175" t="s">
        <v>581</v>
      </c>
      <c r="T142" s="238" t="str">
        <f t="shared" si="186"/>
        <v>Probabilidad</v>
      </c>
      <c r="U142" s="180" t="s">
        <v>15</v>
      </c>
      <c r="V142" s="180" t="s">
        <v>9</v>
      </c>
      <c r="W142" s="181" t="str">
        <f t="shared" si="187"/>
        <v>30%</v>
      </c>
      <c r="X142" s="180" t="s">
        <v>19</v>
      </c>
      <c r="Y142" s="180" t="s">
        <v>22</v>
      </c>
      <c r="Z142" s="180" t="s">
        <v>110</v>
      </c>
      <c r="AA142" s="155">
        <f t="shared" si="188"/>
        <v>0.28000000000000003</v>
      </c>
      <c r="AB142" s="169" t="str">
        <f t="shared" si="189"/>
        <v>Baja</v>
      </c>
      <c r="AC142" s="170">
        <f t="shared" si="190"/>
        <v>0.28000000000000003</v>
      </c>
      <c r="AD142" s="169" t="str">
        <f t="shared" si="191"/>
        <v>Moderado</v>
      </c>
      <c r="AE142" s="170">
        <f t="shared" si="192"/>
        <v>0.6</v>
      </c>
      <c r="AF142" s="171" t="str">
        <f t="shared" si="193"/>
        <v>Moderado</v>
      </c>
      <c r="AG142" s="172" t="s">
        <v>122</v>
      </c>
      <c r="AH142" s="167" t="s">
        <v>572</v>
      </c>
      <c r="AI142" s="165" t="s">
        <v>260</v>
      </c>
      <c r="AJ142" s="166" t="s">
        <v>286</v>
      </c>
      <c r="AK142" s="166" t="s">
        <v>287</v>
      </c>
      <c r="AL142" s="167" t="s">
        <v>600</v>
      </c>
      <c r="AM142" s="165"/>
    </row>
    <row r="143" spans="1:39" s="164" customFormat="1" ht="151.5" customHeight="1" x14ac:dyDescent="0.35">
      <c r="A143" s="325"/>
      <c r="B143" s="323"/>
      <c r="C143" s="323"/>
      <c r="D143" s="323"/>
      <c r="E143" s="339"/>
      <c r="F143" s="339"/>
      <c r="G143" s="339"/>
      <c r="H143" s="342"/>
      <c r="I143" s="339"/>
      <c r="J143" s="336"/>
      <c r="K143" s="327"/>
      <c r="L143" s="330"/>
      <c r="M143" s="351"/>
      <c r="N143" s="185"/>
      <c r="O143" s="327"/>
      <c r="P143" s="330"/>
      <c r="Q143" s="333"/>
      <c r="R143" s="179">
        <v>2</v>
      </c>
      <c r="S143" s="175"/>
      <c r="T143" s="176" t="str">
        <f t="shared" si="186"/>
        <v/>
      </c>
      <c r="U143" s="180"/>
      <c r="V143" s="180"/>
      <c r="W143" s="181" t="str">
        <f t="shared" si="187"/>
        <v/>
      </c>
      <c r="X143" s="180"/>
      <c r="Y143" s="180"/>
      <c r="Z143" s="180"/>
      <c r="AA143" s="155" t="str">
        <f t="shared" si="188"/>
        <v/>
      </c>
      <c r="AB143" s="169" t="str">
        <f t="shared" si="189"/>
        <v/>
      </c>
      <c r="AC143" s="170" t="str">
        <f t="shared" si="190"/>
        <v/>
      </c>
      <c r="AD143" s="169" t="str">
        <f t="shared" si="191"/>
        <v/>
      </c>
      <c r="AE143" s="170" t="str">
        <f t="shared" si="192"/>
        <v/>
      </c>
      <c r="AF143" s="171" t="str">
        <f t="shared" si="193"/>
        <v/>
      </c>
      <c r="AG143" s="172"/>
      <c r="AH143" s="167"/>
      <c r="AI143" s="165"/>
      <c r="AJ143" s="166"/>
      <c r="AK143" s="166"/>
      <c r="AL143" s="167"/>
      <c r="AM143" s="165"/>
    </row>
    <row r="144" spans="1:39" s="164" customFormat="1" ht="151.5" customHeight="1" x14ac:dyDescent="0.35">
      <c r="A144" s="325"/>
      <c r="B144" s="324"/>
      <c r="C144" s="324"/>
      <c r="D144" s="324"/>
      <c r="E144" s="340"/>
      <c r="F144" s="340"/>
      <c r="G144" s="340"/>
      <c r="H144" s="343"/>
      <c r="I144" s="340"/>
      <c r="J144" s="337"/>
      <c r="K144" s="328"/>
      <c r="L144" s="331"/>
      <c r="M144" s="352"/>
      <c r="N144" s="185"/>
      <c r="O144" s="328"/>
      <c r="P144" s="331"/>
      <c r="Q144" s="334"/>
      <c r="R144" s="179">
        <v>3</v>
      </c>
      <c r="S144" s="175"/>
      <c r="T144" s="176" t="str">
        <f t="shared" si="186"/>
        <v/>
      </c>
      <c r="U144" s="180"/>
      <c r="V144" s="180"/>
      <c r="W144" s="181" t="str">
        <f t="shared" si="187"/>
        <v/>
      </c>
      <c r="X144" s="180"/>
      <c r="Y144" s="180"/>
      <c r="Z144" s="180"/>
      <c r="AA144" s="155" t="str">
        <f t="shared" si="188"/>
        <v/>
      </c>
      <c r="AB144" s="169" t="str">
        <f t="shared" si="189"/>
        <v/>
      </c>
      <c r="AC144" s="170" t="str">
        <f t="shared" si="190"/>
        <v/>
      </c>
      <c r="AD144" s="169" t="str">
        <f t="shared" si="191"/>
        <v/>
      </c>
      <c r="AE144" s="170" t="str">
        <f t="shared" si="192"/>
        <v/>
      </c>
      <c r="AF144" s="171" t="str">
        <f t="shared" si="193"/>
        <v/>
      </c>
      <c r="AG144" s="172"/>
      <c r="AH144" s="167"/>
      <c r="AI144" s="165"/>
      <c r="AJ144" s="166"/>
      <c r="AK144" s="166"/>
      <c r="AL144" s="167"/>
      <c r="AM144" s="165"/>
    </row>
    <row r="145" spans="1:39" s="164" customFormat="1" ht="151.5" customHeight="1" x14ac:dyDescent="0.35">
      <c r="A145" s="325"/>
      <c r="B145" s="322" t="s">
        <v>601</v>
      </c>
      <c r="C145" s="322" t="s">
        <v>602</v>
      </c>
      <c r="D145" s="322" t="s">
        <v>603</v>
      </c>
      <c r="E145" s="338" t="s">
        <v>118</v>
      </c>
      <c r="F145" s="338" t="s">
        <v>604</v>
      </c>
      <c r="G145" s="338" t="s">
        <v>605</v>
      </c>
      <c r="H145" s="341" t="s">
        <v>606</v>
      </c>
      <c r="I145" s="338" t="s">
        <v>328</v>
      </c>
      <c r="J145" s="335">
        <v>12</v>
      </c>
      <c r="K145" s="326" t="str">
        <f>IF(J145&lt;=0,"",IF(J145&lt;=2,"Muy Baja",IF(J145&lt;=24,"Baja",IF(J145&lt;=500,"Media",IF(J145&lt;=5000,"Alta","Muy Alta")))))</f>
        <v>Baja</v>
      </c>
      <c r="L145" s="329">
        <f>IF(K145="","",IF(K145="Muy Baja",0.2,IF(K145="Baja",0.4,IF(K145="Media",0.6,IF(K145="Alta",0.8,IF(K145="Muy Alta",1,))))))</f>
        <v>0.4</v>
      </c>
      <c r="M145" s="350" t="s">
        <v>486</v>
      </c>
      <c r="N145" s="178" t="str">
        <f>IF(NOT(ISERROR(MATCH(M145,'Tabla Impacto'!$B$221:$B$223,0))),'Tabla Impacto'!$F$223&amp;"Por favor no seleccionar los criterios de impacto(Afectación Económica o presupuestal y Pérdida Reputacional)",M145)</f>
        <v xml:space="preserve"> El riesgo afecta la imagen de la entidad con algunos usuarios de relevancia frente al logro de los objetivos</v>
      </c>
      <c r="O145" s="326" t="str">
        <f>IF(OR(N145='Tabla Impacto'!$C$11,N145='Tabla Impacto'!$D$11),"Leve",IF(OR(N145='Tabla Impacto'!$C$12,N145='Tabla Impacto'!$D$12),"Menor",IF(OR(N145='Tabla Impacto'!$C$13,N145='Tabla Impacto'!$D$13),"Moderado",IF(OR(N145='Tabla Impacto'!$C$14,N145='Tabla Impacto'!$D$14),"Mayor",IF(OR(N145='Tabla Impacto'!$C$15,N145='Tabla Impacto'!$D$15),"Catastrófico","")))))</f>
        <v>Moderado</v>
      </c>
      <c r="P145" s="329">
        <f>IF(O145="","",IF(O145="Leve",0.2,IF(O145="Menor",0.4,IF(O145="Moderado",0.6,IF(O145="Mayor",0.8,IF(O145="Catastrófico",1,))))))</f>
        <v>0.6</v>
      </c>
      <c r="Q145" s="332" t="str">
        <f>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Moderado</v>
      </c>
      <c r="R145" s="179">
        <v>1</v>
      </c>
      <c r="S145" s="175" t="s">
        <v>610</v>
      </c>
      <c r="T145" s="176" t="str">
        <f t="shared" si="186"/>
        <v/>
      </c>
      <c r="U145" s="180"/>
      <c r="V145" s="180"/>
      <c r="W145" s="181" t="str">
        <f t="shared" si="187"/>
        <v/>
      </c>
      <c r="X145" s="180"/>
      <c r="Y145" s="180"/>
      <c r="Z145" s="180"/>
      <c r="AA145" s="155" t="str">
        <f t="shared" si="188"/>
        <v/>
      </c>
      <c r="AB145" s="169" t="str">
        <f t="shared" si="189"/>
        <v/>
      </c>
      <c r="AC145" s="170" t="str">
        <f t="shared" si="190"/>
        <v/>
      </c>
      <c r="AD145" s="169" t="str">
        <f t="shared" si="191"/>
        <v/>
      </c>
      <c r="AE145" s="170" t="str">
        <f t="shared" si="192"/>
        <v/>
      </c>
      <c r="AF145" s="171" t="str">
        <f t="shared" si="193"/>
        <v/>
      </c>
      <c r="AG145" s="172"/>
      <c r="AH145" s="167" t="s">
        <v>607</v>
      </c>
      <c r="AI145" s="165" t="s">
        <v>212</v>
      </c>
      <c r="AJ145" s="166" t="s">
        <v>286</v>
      </c>
      <c r="AK145" s="166" t="s">
        <v>287</v>
      </c>
      <c r="AL145" s="167" t="s">
        <v>609</v>
      </c>
      <c r="AM145" s="165"/>
    </row>
    <row r="146" spans="1:39" s="164" customFormat="1" ht="151.5" customHeight="1" x14ac:dyDescent="0.35">
      <c r="A146" s="325"/>
      <c r="B146" s="323"/>
      <c r="C146" s="323"/>
      <c r="D146" s="323"/>
      <c r="E146" s="339"/>
      <c r="F146" s="339"/>
      <c r="G146" s="339"/>
      <c r="H146" s="342"/>
      <c r="I146" s="339"/>
      <c r="J146" s="336"/>
      <c r="K146" s="327"/>
      <c r="L146" s="330"/>
      <c r="M146" s="351"/>
      <c r="N146" s="185"/>
      <c r="O146" s="327"/>
      <c r="P146" s="330"/>
      <c r="Q146" s="333"/>
      <c r="R146" s="179">
        <v>2</v>
      </c>
      <c r="S146" s="175"/>
      <c r="T146" s="176" t="str">
        <f t="shared" si="186"/>
        <v/>
      </c>
      <c r="U146" s="180"/>
      <c r="V146" s="180"/>
      <c r="W146" s="181" t="str">
        <f t="shared" si="187"/>
        <v/>
      </c>
      <c r="X146" s="180"/>
      <c r="Y146" s="180"/>
      <c r="Z146" s="180"/>
      <c r="AA146" s="155" t="str">
        <f t="shared" si="188"/>
        <v/>
      </c>
      <c r="AB146" s="169" t="str">
        <f t="shared" si="189"/>
        <v/>
      </c>
      <c r="AC146" s="170" t="str">
        <f t="shared" si="190"/>
        <v/>
      </c>
      <c r="AD146" s="169" t="str">
        <f t="shared" si="191"/>
        <v/>
      </c>
      <c r="AE146" s="170" t="str">
        <f t="shared" si="192"/>
        <v/>
      </c>
      <c r="AF146" s="171" t="str">
        <f t="shared" si="193"/>
        <v/>
      </c>
      <c r="AG146" s="172"/>
      <c r="AH146" s="167"/>
      <c r="AI146" s="165"/>
      <c r="AJ146" s="166"/>
      <c r="AK146" s="166"/>
      <c r="AL146" s="167"/>
      <c r="AM146" s="165"/>
    </row>
    <row r="147" spans="1:39" s="164" customFormat="1" ht="151.5" customHeight="1" x14ac:dyDescent="0.35">
      <c r="A147" s="325"/>
      <c r="B147" s="324"/>
      <c r="C147" s="324"/>
      <c r="D147" s="324"/>
      <c r="E147" s="340"/>
      <c r="F147" s="340"/>
      <c r="G147" s="340"/>
      <c r="H147" s="343"/>
      <c r="I147" s="340"/>
      <c r="J147" s="337"/>
      <c r="K147" s="328"/>
      <c r="L147" s="331"/>
      <c r="M147" s="352"/>
      <c r="N147" s="185"/>
      <c r="O147" s="328"/>
      <c r="P147" s="331"/>
      <c r="Q147" s="334"/>
      <c r="R147" s="179">
        <v>3</v>
      </c>
      <c r="S147" s="175"/>
      <c r="T147" s="176" t="str">
        <f t="shared" si="186"/>
        <v/>
      </c>
      <c r="U147" s="180"/>
      <c r="V147" s="180"/>
      <c r="W147" s="181" t="str">
        <f t="shared" si="187"/>
        <v/>
      </c>
      <c r="X147" s="180"/>
      <c r="Y147" s="180"/>
      <c r="Z147" s="180"/>
      <c r="AA147" s="155" t="str">
        <f t="shared" si="188"/>
        <v/>
      </c>
      <c r="AB147" s="169" t="str">
        <f t="shared" si="189"/>
        <v/>
      </c>
      <c r="AC147" s="170" t="str">
        <f t="shared" si="190"/>
        <v/>
      </c>
      <c r="AD147" s="169" t="str">
        <f t="shared" si="191"/>
        <v/>
      </c>
      <c r="AE147" s="170" t="str">
        <f t="shared" si="192"/>
        <v/>
      </c>
      <c r="AF147" s="171" t="str">
        <f t="shared" si="193"/>
        <v/>
      </c>
      <c r="AG147" s="172"/>
      <c r="AH147" s="167"/>
      <c r="AI147" s="165"/>
      <c r="AJ147" s="166"/>
      <c r="AK147" s="166"/>
      <c r="AL147" s="167"/>
      <c r="AM147" s="165"/>
    </row>
    <row r="148" spans="1:39" s="164" customFormat="1" ht="151.5" customHeight="1" x14ac:dyDescent="0.35">
      <c r="A148" s="325"/>
      <c r="B148" s="322"/>
      <c r="C148" s="354"/>
      <c r="D148" s="354"/>
      <c r="E148" s="338"/>
      <c r="F148" s="338"/>
      <c r="G148" s="338"/>
      <c r="H148" s="341"/>
      <c r="I148" s="338"/>
      <c r="J148" s="335"/>
      <c r="K148" s="326" t="str">
        <f>IF(J148&lt;=0,"",IF(J148&lt;=2,"Muy Baja",IF(J148&lt;=24,"Baja",IF(J148&lt;=500,"Media",IF(J148&lt;=5000,"Alta","Muy Alta")))))</f>
        <v/>
      </c>
      <c r="L148" s="329" t="str">
        <f>IF(K148="","",IF(K148="Muy Baja",0.2,IF(K148="Baja",0.4,IF(K148="Media",0.6,IF(K148="Alta",0.8,IF(K148="Muy Alta",1,))))))</f>
        <v/>
      </c>
      <c r="M148" s="350"/>
      <c r="N148" s="178">
        <f>IF(NOT(ISERROR(MATCH(M148,'Tabla Impacto'!$B$221:$B$223,0))),'Tabla Impacto'!$F$223&amp;"Por favor no seleccionar los criterios de impacto(Afectación Económica o presupuestal y Pérdida Reputacional)",M148)</f>
        <v>0</v>
      </c>
      <c r="O148" s="326" t="str">
        <f>IF(OR(N148='Tabla Impacto'!$C$11,N148='Tabla Impacto'!$D$11),"Leve",IF(OR(N148='Tabla Impacto'!$C$12,N148='Tabla Impacto'!$D$12),"Menor",IF(OR(N148='Tabla Impacto'!$C$13,N148='Tabla Impacto'!$D$13),"Moderado",IF(OR(N148='Tabla Impacto'!$C$14,N148='Tabla Impacto'!$D$14),"Mayor",IF(OR(N148='Tabla Impacto'!$C$15,N148='Tabla Impacto'!$D$15),"Catastrófico","")))))</f>
        <v/>
      </c>
      <c r="P148" s="329" t="str">
        <f>IF(O148="","",IF(O148="Leve",0.2,IF(O148="Menor",0.4,IF(O148="Moderado",0.6,IF(O148="Mayor",0.8,IF(O148="Catastrófico",1,))))))</f>
        <v/>
      </c>
      <c r="Q148" s="332" t="str">
        <f>IF(OR(AND(K148="Muy Baja",O148="Leve"),AND(K148="Muy Baja",O148="Menor"),AND(K148="Baja",O148="Leve")),"Bajo",IF(OR(AND(K148="Muy baja",O148="Moderado"),AND(K148="Baja",O148="Menor"),AND(K148="Baja",O148="Moderado"),AND(K148="Media",O148="Leve"),AND(K148="Media",O148="Menor"),AND(K148="Media",O148="Moderado"),AND(K148="Alta",O148="Leve"),AND(K148="Alta",O148="Menor")),"Moderado",IF(OR(AND(K148="Muy Baja",O148="Mayor"),AND(K148="Baja",O148="Mayor"),AND(K148="Media",O148="Mayor"),AND(K148="Alta",O148="Moderado"),AND(K148="Alta",O148="Mayor"),AND(K148="Muy Alta",O148="Leve"),AND(K148="Muy Alta",O148="Menor"),AND(K148="Muy Alta",O148="Moderado"),AND(K148="Muy Alta",O148="Mayor")),"Alto",IF(OR(AND(K148="Muy Baja",O148="Catastrófico"),AND(K148="Baja",O148="Catastrófico"),AND(K148="Media",O148="Catastrófico"),AND(K148="Alta",O148="Catastrófico"),AND(K148="Muy Alta",O148="Catastrófico")),"Extremo",""))))</f>
        <v/>
      </c>
      <c r="R148" s="179">
        <v>1</v>
      </c>
      <c r="S148" s="175"/>
      <c r="T148" s="176" t="str">
        <f t="shared" si="186"/>
        <v/>
      </c>
      <c r="U148" s="180"/>
      <c r="V148" s="180"/>
      <c r="W148" s="181" t="str">
        <f t="shared" si="187"/>
        <v/>
      </c>
      <c r="X148" s="180"/>
      <c r="Y148" s="180"/>
      <c r="Z148" s="180"/>
      <c r="AA148" s="155" t="str">
        <f t="shared" si="188"/>
        <v/>
      </c>
      <c r="AB148" s="169" t="str">
        <f t="shared" si="189"/>
        <v/>
      </c>
      <c r="AC148" s="170" t="str">
        <f t="shared" si="190"/>
        <v/>
      </c>
      <c r="AD148" s="169" t="str">
        <f t="shared" si="191"/>
        <v/>
      </c>
      <c r="AE148" s="170" t="str">
        <f t="shared" si="192"/>
        <v/>
      </c>
      <c r="AF148" s="171" t="str">
        <f t="shared" si="193"/>
        <v/>
      </c>
      <c r="AG148" s="172"/>
      <c r="AH148" s="167"/>
      <c r="AI148" s="165"/>
      <c r="AJ148" s="166"/>
      <c r="AK148" s="166"/>
      <c r="AL148" s="167"/>
      <c r="AM148" s="165"/>
    </row>
    <row r="149" spans="1:39" s="164" customFormat="1" ht="151.5" customHeight="1" x14ac:dyDescent="0.35">
      <c r="A149" s="325"/>
      <c r="B149" s="323"/>
      <c r="C149" s="325"/>
      <c r="D149" s="325"/>
      <c r="E149" s="339"/>
      <c r="F149" s="339"/>
      <c r="G149" s="339"/>
      <c r="H149" s="342"/>
      <c r="I149" s="339"/>
      <c r="J149" s="336"/>
      <c r="K149" s="327"/>
      <c r="L149" s="330"/>
      <c r="M149" s="351"/>
      <c r="N149" s="185"/>
      <c r="O149" s="327"/>
      <c r="P149" s="330"/>
      <c r="Q149" s="333"/>
      <c r="R149" s="179">
        <v>2</v>
      </c>
      <c r="S149" s="175"/>
      <c r="T149" s="176" t="str">
        <f t="shared" si="186"/>
        <v/>
      </c>
      <c r="U149" s="180"/>
      <c r="V149" s="180"/>
      <c r="W149" s="181" t="str">
        <f t="shared" si="187"/>
        <v/>
      </c>
      <c r="X149" s="180"/>
      <c r="Y149" s="180"/>
      <c r="Z149" s="180"/>
      <c r="AA149" s="155" t="str">
        <f t="shared" si="188"/>
        <v/>
      </c>
      <c r="AB149" s="169" t="str">
        <f t="shared" si="189"/>
        <v/>
      </c>
      <c r="AC149" s="170" t="str">
        <f t="shared" si="190"/>
        <v/>
      </c>
      <c r="AD149" s="169" t="str">
        <f t="shared" si="191"/>
        <v/>
      </c>
      <c r="AE149" s="170" t="str">
        <f t="shared" si="192"/>
        <v/>
      </c>
      <c r="AF149" s="171" t="str">
        <f t="shared" si="193"/>
        <v/>
      </c>
      <c r="AG149" s="172"/>
      <c r="AH149" s="167"/>
      <c r="AI149" s="165"/>
      <c r="AJ149" s="166"/>
      <c r="AK149" s="166"/>
      <c r="AL149" s="167"/>
      <c r="AM149" s="165"/>
    </row>
    <row r="150" spans="1:39" s="164" customFormat="1" ht="151.5" customHeight="1" x14ac:dyDescent="0.35">
      <c r="A150" s="325"/>
      <c r="B150" s="324"/>
      <c r="C150" s="353"/>
      <c r="D150" s="353"/>
      <c r="E150" s="340"/>
      <c r="F150" s="340"/>
      <c r="G150" s="340"/>
      <c r="H150" s="343"/>
      <c r="I150" s="340"/>
      <c r="J150" s="337"/>
      <c r="K150" s="328"/>
      <c r="L150" s="331"/>
      <c r="M150" s="352"/>
      <c r="N150" s="185"/>
      <c r="O150" s="328"/>
      <c r="P150" s="331"/>
      <c r="Q150" s="334"/>
      <c r="R150" s="179">
        <v>3</v>
      </c>
      <c r="S150" s="175"/>
      <c r="T150" s="176" t="str">
        <f t="shared" si="186"/>
        <v/>
      </c>
      <c r="U150" s="180"/>
      <c r="V150" s="180"/>
      <c r="W150" s="181" t="str">
        <f t="shared" si="187"/>
        <v/>
      </c>
      <c r="X150" s="180"/>
      <c r="Y150" s="180"/>
      <c r="Z150" s="180"/>
      <c r="AA150" s="155" t="str">
        <f t="shared" si="188"/>
        <v/>
      </c>
      <c r="AB150" s="169" t="str">
        <f t="shared" si="189"/>
        <v/>
      </c>
      <c r="AC150" s="170" t="str">
        <f t="shared" si="190"/>
        <v/>
      </c>
      <c r="AD150" s="169" t="str">
        <f t="shared" si="191"/>
        <v/>
      </c>
      <c r="AE150" s="170" t="str">
        <f t="shared" si="192"/>
        <v/>
      </c>
      <c r="AF150" s="171" t="str">
        <f t="shared" si="193"/>
        <v/>
      </c>
      <c r="AG150" s="172"/>
      <c r="AH150" s="167"/>
      <c r="AI150" s="165"/>
      <c r="AJ150" s="166"/>
      <c r="AK150" s="166"/>
      <c r="AL150" s="167"/>
      <c r="AM150" s="165"/>
    </row>
    <row r="151" spans="1:39" s="164" customFormat="1" ht="151.5" customHeight="1" x14ac:dyDescent="0.35">
      <c r="A151" s="325"/>
      <c r="B151" s="322"/>
      <c r="C151" s="354"/>
      <c r="D151" s="354"/>
      <c r="E151" s="338"/>
      <c r="F151" s="338"/>
      <c r="G151" s="338"/>
      <c r="H151" s="341"/>
      <c r="I151" s="338"/>
      <c r="J151" s="335"/>
      <c r="K151" s="326" t="str">
        <f>IF(J151&lt;=0,"",IF(J151&lt;=2,"Muy Baja",IF(J151&lt;=24,"Baja",IF(J151&lt;=500,"Media",IF(J151&lt;=5000,"Alta","Muy Alta")))))</f>
        <v/>
      </c>
      <c r="L151" s="329" t="str">
        <f>IF(K151="","",IF(K151="Muy Baja",0.2,IF(K151="Baja",0.4,IF(K151="Media",0.6,IF(K151="Alta",0.8,IF(K151="Muy Alta",1,))))))</f>
        <v/>
      </c>
      <c r="M151" s="350"/>
      <c r="N151" s="178">
        <f>IF(NOT(ISERROR(MATCH(M151,'Tabla Impacto'!$B$221:$B$223,0))),'Tabla Impacto'!$F$223&amp;"Por favor no seleccionar los criterios de impacto(Afectación Económica o presupuestal y Pérdida Reputacional)",M151)</f>
        <v>0</v>
      </c>
      <c r="O151" s="326" t="str">
        <f>IF(OR(N151='Tabla Impacto'!$C$11,N151='Tabla Impacto'!$D$11),"Leve",IF(OR(N151='Tabla Impacto'!$C$12,N151='Tabla Impacto'!$D$12),"Menor",IF(OR(N151='Tabla Impacto'!$C$13,N151='Tabla Impacto'!$D$13),"Moderado",IF(OR(N151='Tabla Impacto'!$C$14,N151='Tabla Impacto'!$D$14),"Mayor",IF(OR(N151='Tabla Impacto'!$C$15,N151='Tabla Impacto'!$D$15),"Catastrófico","")))))</f>
        <v/>
      </c>
      <c r="P151" s="329" t="str">
        <f>IF(O151="","",IF(O151="Leve",0.2,IF(O151="Menor",0.4,IF(O151="Moderado",0.6,IF(O151="Mayor",0.8,IF(O151="Catastrófico",1,))))))</f>
        <v/>
      </c>
      <c r="Q151" s="332" t="str">
        <f>IF(OR(AND(K151="Muy Baja",O151="Leve"),AND(K151="Muy Baja",O151="Menor"),AND(K151="Baja",O151="Leve")),"Bajo",IF(OR(AND(K151="Muy baja",O151="Moderado"),AND(K151="Baja",O151="Menor"),AND(K151="Baja",O151="Moderado"),AND(K151="Media",O151="Leve"),AND(K151="Media",O151="Menor"),AND(K151="Media",O151="Moderado"),AND(K151="Alta",O151="Leve"),AND(K151="Alta",O151="Menor")),"Moderado",IF(OR(AND(K151="Muy Baja",O151="Mayor"),AND(K151="Baja",O151="Mayor"),AND(K151="Media",O151="Mayor"),AND(K151="Alta",O151="Moderado"),AND(K151="Alta",O151="Mayor"),AND(K151="Muy Alta",O151="Leve"),AND(K151="Muy Alta",O151="Menor"),AND(K151="Muy Alta",O151="Moderado"),AND(K151="Muy Alta",O151="Mayor")),"Alto",IF(OR(AND(K151="Muy Baja",O151="Catastrófico"),AND(K151="Baja",O151="Catastrófico"),AND(K151="Media",O151="Catastrófico"),AND(K151="Alta",O151="Catastrófico"),AND(K151="Muy Alta",O151="Catastrófico")),"Extremo",""))))</f>
        <v/>
      </c>
      <c r="R151" s="179">
        <v>1</v>
      </c>
      <c r="S151" s="175"/>
      <c r="T151" s="176" t="str">
        <f t="shared" si="186"/>
        <v/>
      </c>
      <c r="U151" s="180"/>
      <c r="V151" s="180"/>
      <c r="W151" s="181" t="str">
        <f t="shared" si="187"/>
        <v/>
      </c>
      <c r="X151" s="180"/>
      <c r="Y151" s="180"/>
      <c r="Z151" s="180"/>
      <c r="AA151" s="155" t="str">
        <f t="shared" si="188"/>
        <v/>
      </c>
      <c r="AB151" s="169" t="str">
        <f t="shared" si="189"/>
        <v/>
      </c>
      <c r="AC151" s="170" t="str">
        <f t="shared" si="190"/>
        <v/>
      </c>
      <c r="AD151" s="169" t="str">
        <f t="shared" si="191"/>
        <v/>
      </c>
      <c r="AE151" s="170" t="str">
        <f t="shared" si="192"/>
        <v/>
      </c>
      <c r="AF151" s="171" t="str">
        <f t="shared" si="193"/>
        <v/>
      </c>
      <c r="AG151" s="172"/>
      <c r="AH151" s="167"/>
      <c r="AI151" s="165"/>
      <c r="AJ151" s="166"/>
      <c r="AK151" s="166"/>
      <c r="AL151" s="167"/>
      <c r="AM151" s="165"/>
    </row>
    <row r="152" spans="1:39" s="164" customFormat="1" ht="151.5" customHeight="1" x14ac:dyDescent="0.35">
      <c r="A152" s="325"/>
      <c r="B152" s="323"/>
      <c r="C152" s="325"/>
      <c r="D152" s="325"/>
      <c r="E152" s="339"/>
      <c r="F152" s="339"/>
      <c r="G152" s="339"/>
      <c r="H152" s="342"/>
      <c r="I152" s="339"/>
      <c r="J152" s="336"/>
      <c r="K152" s="327"/>
      <c r="L152" s="330"/>
      <c r="M152" s="351"/>
      <c r="N152" s="185"/>
      <c r="O152" s="327"/>
      <c r="P152" s="330"/>
      <c r="Q152" s="333"/>
      <c r="R152" s="179">
        <v>2</v>
      </c>
      <c r="S152" s="175"/>
      <c r="T152" s="176" t="str">
        <f t="shared" si="186"/>
        <v/>
      </c>
      <c r="U152" s="180"/>
      <c r="V152" s="180"/>
      <c r="W152" s="181" t="str">
        <f t="shared" si="187"/>
        <v/>
      </c>
      <c r="X152" s="180"/>
      <c r="Y152" s="180"/>
      <c r="Z152" s="180"/>
      <c r="AA152" s="155" t="str">
        <f t="shared" si="188"/>
        <v/>
      </c>
      <c r="AB152" s="169" t="str">
        <f t="shared" si="189"/>
        <v/>
      </c>
      <c r="AC152" s="170" t="str">
        <f t="shared" si="190"/>
        <v/>
      </c>
      <c r="AD152" s="169" t="str">
        <f t="shared" si="191"/>
        <v/>
      </c>
      <c r="AE152" s="170" t="str">
        <f t="shared" si="192"/>
        <v/>
      </c>
      <c r="AF152" s="171" t="str">
        <f t="shared" si="193"/>
        <v/>
      </c>
      <c r="AG152" s="172"/>
      <c r="AH152" s="167"/>
      <c r="AI152" s="165"/>
      <c r="AJ152" s="166"/>
      <c r="AK152" s="166"/>
      <c r="AL152" s="167"/>
      <c r="AM152" s="165"/>
    </row>
    <row r="153" spans="1:39" s="164" customFormat="1" ht="151.5" customHeight="1" x14ac:dyDescent="0.35">
      <c r="A153" s="353"/>
      <c r="B153" s="324"/>
      <c r="C153" s="353"/>
      <c r="D153" s="353"/>
      <c r="E153" s="340"/>
      <c r="F153" s="340"/>
      <c r="G153" s="340"/>
      <c r="H153" s="343"/>
      <c r="I153" s="340"/>
      <c r="J153" s="337"/>
      <c r="K153" s="328"/>
      <c r="L153" s="331"/>
      <c r="M153" s="352"/>
      <c r="N153" s="185"/>
      <c r="O153" s="328"/>
      <c r="P153" s="331"/>
      <c r="Q153" s="334"/>
      <c r="R153" s="179">
        <v>3</v>
      </c>
      <c r="S153" s="175"/>
      <c r="T153" s="176" t="str">
        <f t="shared" si="186"/>
        <v/>
      </c>
      <c r="U153" s="180"/>
      <c r="V153" s="180"/>
      <c r="W153" s="181" t="str">
        <f t="shared" si="187"/>
        <v/>
      </c>
      <c r="X153" s="180"/>
      <c r="Y153" s="180"/>
      <c r="Z153" s="180"/>
      <c r="AA153" s="155" t="str">
        <f t="shared" si="188"/>
        <v/>
      </c>
      <c r="AB153" s="169" t="str">
        <f t="shared" si="189"/>
        <v/>
      </c>
      <c r="AC153" s="170" t="str">
        <f t="shared" si="190"/>
        <v/>
      </c>
      <c r="AD153" s="169" t="str">
        <f t="shared" si="191"/>
        <v/>
      </c>
      <c r="AE153" s="170" t="str">
        <f t="shared" si="192"/>
        <v/>
      </c>
      <c r="AF153" s="171" t="str">
        <f t="shared" si="193"/>
        <v/>
      </c>
      <c r="AG153" s="172"/>
      <c r="AH153" s="167"/>
      <c r="AI153" s="165"/>
      <c r="AJ153" s="166"/>
      <c r="AK153" s="166"/>
      <c r="AL153" s="167"/>
      <c r="AM153" s="165"/>
    </row>
    <row r="154" spans="1:39" ht="49.5" customHeight="1" x14ac:dyDescent="0.35">
      <c r="A154" s="3"/>
      <c r="B154" s="97"/>
      <c r="C154" s="97"/>
      <c r="D154" s="97"/>
      <c r="E154" s="426" t="s">
        <v>513</v>
      </c>
      <c r="F154" s="427"/>
      <c r="G154" s="427"/>
      <c r="H154" s="427"/>
      <c r="I154" s="427"/>
      <c r="J154" s="427"/>
      <c r="K154" s="427"/>
      <c r="L154" s="427"/>
      <c r="M154" s="427"/>
      <c r="N154" s="427"/>
      <c r="O154" s="427"/>
      <c r="P154" s="427"/>
      <c r="Q154" s="427"/>
      <c r="R154" s="427"/>
      <c r="S154" s="427"/>
      <c r="T154" s="427"/>
      <c r="U154" s="427"/>
      <c r="V154" s="427"/>
      <c r="W154" s="427"/>
      <c r="X154" s="427"/>
      <c r="Y154" s="427"/>
      <c r="Z154" s="427"/>
      <c r="AA154" s="427"/>
      <c r="AB154" s="427"/>
      <c r="AC154" s="427"/>
      <c r="AD154" s="427"/>
      <c r="AE154" s="427"/>
      <c r="AF154" s="427"/>
      <c r="AG154" s="427"/>
      <c r="AH154" s="427"/>
      <c r="AI154" s="427"/>
      <c r="AJ154" s="427"/>
      <c r="AK154" s="427"/>
      <c r="AL154" s="427"/>
      <c r="AM154" s="428"/>
    </row>
    <row r="156" spans="1:39" x14ac:dyDescent="0.35">
      <c r="A156" s="2"/>
      <c r="B156" s="2"/>
      <c r="C156" s="2"/>
      <c r="D156" s="2"/>
      <c r="E156" s="20" t="s">
        <v>349</v>
      </c>
      <c r="F156" s="2"/>
      <c r="G156" s="2"/>
    </row>
  </sheetData>
  <autoFilter ref="A6:CP154"/>
  <dataConsolidate/>
  <mergeCells count="826">
    <mergeCell ref="J70:J72"/>
    <mergeCell ref="K70:K72"/>
    <mergeCell ref="L70:L72"/>
    <mergeCell ref="M70:M72"/>
    <mergeCell ref="O70:O72"/>
    <mergeCell ref="P70:P72"/>
    <mergeCell ref="Q70:Q72"/>
    <mergeCell ref="A70:A72"/>
    <mergeCell ref="B70:B72"/>
    <mergeCell ref="C70:C72"/>
    <mergeCell ref="D70:D72"/>
    <mergeCell ref="E70:E72"/>
    <mergeCell ref="F70:F72"/>
    <mergeCell ref="G70:G72"/>
    <mergeCell ref="H70:H72"/>
    <mergeCell ref="I70:I72"/>
    <mergeCell ref="Q85:Q87"/>
    <mergeCell ref="G85:G87"/>
    <mergeCell ref="H85:H87"/>
    <mergeCell ref="I85:I87"/>
    <mergeCell ref="J85:J87"/>
    <mergeCell ref="K85:K87"/>
    <mergeCell ref="L85:L87"/>
    <mergeCell ref="M85:M87"/>
    <mergeCell ref="O85:O87"/>
    <mergeCell ref="P85:P87"/>
    <mergeCell ref="AH5:AH6"/>
    <mergeCell ref="AM5:AM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I7:I9"/>
    <mergeCell ref="J7:J9"/>
    <mergeCell ref="A7:A9"/>
    <mergeCell ref="B7:B9"/>
    <mergeCell ref="C7:C9"/>
    <mergeCell ref="D7:D9"/>
    <mergeCell ref="E154:AM154"/>
    <mergeCell ref="A1:AM2"/>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Q7:Q9"/>
    <mergeCell ref="E7:E9"/>
    <mergeCell ref="A13:A15"/>
    <mergeCell ref="B13:B15"/>
    <mergeCell ref="C13:C15"/>
    <mergeCell ref="D13:D15"/>
    <mergeCell ref="E13:E15"/>
    <mergeCell ref="F13:F15"/>
    <mergeCell ref="G13:G15"/>
    <mergeCell ref="H13:H15"/>
    <mergeCell ref="I13:I15"/>
    <mergeCell ref="J13:J15"/>
    <mergeCell ref="K13:K15"/>
    <mergeCell ref="L13:L15"/>
    <mergeCell ref="M13:M15"/>
    <mergeCell ref="O13:O15"/>
    <mergeCell ref="K7:K9"/>
    <mergeCell ref="L7:L9"/>
    <mergeCell ref="M7:M9"/>
    <mergeCell ref="O7:O9"/>
    <mergeCell ref="P7:P9"/>
    <mergeCell ref="F7:F9"/>
    <mergeCell ref="G7:G9"/>
    <mergeCell ref="H7:H9"/>
    <mergeCell ref="A19:A21"/>
    <mergeCell ref="Q13:Q15"/>
    <mergeCell ref="G10:G12"/>
    <mergeCell ref="H10:H12"/>
    <mergeCell ref="I10:I12"/>
    <mergeCell ref="J10:J12"/>
    <mergeCell ref="K10:K12"/>
    <mergeCell ref="L10:L12"/>
    <mergeCell ref="M10:M12"/>
    <mergeCell ref="O10:O12"/>
    <mergeCell ref="P13:P15"/>
    <mergeCell ref="P10:P12"/>
    <mergeCell ref="Q10:Q12"/>
    <mergeCell ref="A10:A12"/>
    <mergeCell ref="B10:B12"/>
    <mergeCell ref="C10:C12"/>
    <mergeCell ref="D10:D12"/>
    <mergeCell ref="E10:E12"/>
    <mergeCell ref="F10:F12"/>
    <mergeCell ref="A16:A18"/>
    <mergeCell ref="B16:B18"/>
    <mergeCell ref="C16:C18"/>
    <mergeCell ref="D16:D18"/>
    <mergeCell ref="E16:E18"/>
    <mergeCell ref="F16:F18"/>
    <mergeCell ref="M19:M21"/>
    <mergeCell ref="O19:O21"/>
    <mergeCell ref="P19:P21"/>
    <mergeCell ref="Q19:Q21"/>
    <mergeCell ref="J16:J18"/>
    <mergeCell ref="K16:K18"/>
    <mergeCell ref="L16:L18"/>
    <mergeCell ref="M16:M18"/>
    <mergeCell ref="O16:O18"/>
    <mergeCell ref="P16:P18"/>
    <mergeCell ref="Q16:Q18"/>
    <mergeCell ref="J19:J21"/>
    <mergeCell ref="I16:I18"/>
    <mergeCell ref="G16:G18"/>
    <mergeCell ref="H16:H18"/>
    <mergeCell ref="B19:B21"/>
    <mergeCell ref="C19:C21"/>
    <mergeCell ref="D19:D21"/>
    <mergeCell ref="E19:E21"/>
    <mergeCell ref="F19:F21"/>
    <mergeCell ref="G19:G21"/>
    <mergeCell ref="H19:H21"/>
    <mergeCell ref="K19:K21"/>
    <mergeCell ref="L19:L21"/>
    <mergeCell ref="I19:I21"/>
    <mergeCell ref="Q22:Q24"/>
    <mergeCell ref="A25:A27"/>
    <mergeCell ref="B25:B27"/>
    <mergeCell ref="C25:C27"/>
    <mergeCell ref="D25:D27"/>
    <mergeCell ref="E25:E27"/>
    <mergeCell ref="F25:F27"/>
    <mergeCell ref="G25:G27"/>
    <mergeCell ref="H25:H27"/>
    <mergeCell ref="I25:I27"/>
    <mergeCell ref="J25:J27"/>
    <mergeCell ref="K25:K27"/>
    <mergeCell ref="L25:L27"/>
    <mergeCell ref="M25:M27"/>
    <mergeCell ref="O25:O27"/>
    <mergeCell ref="P25:P27"/>
    <mergeCell ref="Q25:Q27"/>
    <mergeCell ref="A22:A24"/>
    <mergeCell ref="B22:B24"/>
    <mergeCell ref="C22:C24"/>
    <mergeCell ref="D22:D24"/>
    <mergeCell ref="E22:E24"/>
    <mergeCell ref="F22:F24"/>
    <mergeCell ref="G22:G24"/>
    <mergeCell ref="H28:H30"/>
    <mergeCell ref="I28:I30"/>
    <mergeCell ref="I22:I24"/>
    <mergeCell ref="J22:J24"/>
    <mergeCell ref="K22:K24"/>
    <mergeCell ref="L22:L24"/>
    <mergeCell ref="M22:M24"/>
    <mergeCell ref="O22:O24"/>
    <mergeCell ref="P22:P24"/>
    <mergeCell ref="P28:P30"/>
    <mergeCell ref="H22:H24"/>
    <mergeCell ref="Q28:Q30"/>
    <mergeCell ref="P31:P33"/>
    <mergeCell ref="O31:O33"/>
    <mergeCell ref="Q31:Q33"/>
    <mergeCell ref="C31:C33"/>
    <mergeCell ref="B31:B33"/>
    <mergeCell ref="A31:A33"/>
    <mergeCell ref="J28:J30"/>
    <mergeCell ref="K28:K30"/>
    <mergeCell ref="L28:L30"/>
    <mergeCell ref="M28:M30"/>
    <mergeCell ref="O28:O30"/>
    <mergeCell ref="M31:M33"/>
    <mergeCell ref="L31:L33"/>
    <mergeCell ref="K31:K33"/>
    <mergeCell ref="J31:J33"/>
    <mergeCell ref="A28:A30"/>
    <mergeCell ref="B28:B30"/>
    <mergeCell ref="C28:C30"/>
    <mergeCell ref="D28:D30"/>
    <mergeCell ref="E28:E30"/>
    <mergeCell ref="F28:F30"/>
    <mergeCell ref="G28:G30"/>
    <mergeCell ref="H31:H33"/>
    <mergeCell ref="G31:G33"/>
    <mergeCell ref="F31:F33"/>
    <mergeCell ref="E31:E33"/>
    <mergeCell ref="D31:D33"/>
    <mergeCell ref="F34:F36"/>
    <mergeCell ref="G34:G36"/>
    <mergeCell ref="H34:H36"/>
    <mergeCell ref="I31:I33"/>
    <mergeCell ref="I34:I36"/>
    <mergeCell ref="J34:J36"/>
    <mergeCell ref="A37:A39"/>
    <mergeCell ref="B37:B39"/>
    <mergeCell ref="C34:C36"/>
    <mergeCell ref="D34:D36"/>
    <mergeCell ref="E34:E36"/>
    <mergeCell ref="L37:L39"/>
    <mergeCell ref="K37:K39"/>
    <mergeCell ref="J37:J39"/>
    <mergeCell ref="I37:I39"/>
    <mergeCell ref="H37:H39"/>
    <mergeCell ref="A34:A36"/>
    <mergeCell ref="B34:B36"/>
    <mergeCell ref="Q34:Q36"/>
    <mergeCell ref="Q37:Q39"/>
    <mergeCell ref="P37:P39"/>
    <mergeCell ref="O37:O39"/>
    <mergeCell ref="M37:M39"/>
    <mergeCell ref="K34:K36"/>
    <mergeCell ref="L34:L36"/>
    <mergeCell ref="M34:M36"/>
    <mergeCell ref="O34:O36"/>
    <mergeCell ref="P34:P36"/>
    <mergeCell ref="A40:A42"/>
    <mergeCell ref="B40:B42"/>
    <mergeCell ref="C40:C42"/>
    <mergeCell ref="D40:D42"/>
    <mergeCell ref="E40:E42"/>
    <mergeCell ref="G37:G39"/>
    <mergeCell ref="F37:F39"/>
    <mergeCell ref="E37:E39"/>
    <mergeCell ref="D37:D39"/>
    <mergeCell ref="C37:C39"/>
    <mergeCell ref="Q40:Q42"/>
    <mergeCell ref="K40:K42"/>
    <mergeCell ref="L40:L42"/>
    <mergeCell ref="M40:M42"/>
    <mergeCell ref="O40:O42"/>
    <mergeCell ref="P40:P42"/>
    <mergeCell ref="F40:F42"/>
    <mergeCell ref="G40:G42"/>
    <mergeCell ref="H40:H42"/>
    <mergeCell ref="I40:I42"/>
    <mergeCell ref="J40:J42"/>
    <mergeCell ref="A43:A45"/>
    <mergeCell ref="B43:B45"/>
    <mergeCell ref="C43:C45"/>
    <mergeCell ref="D43:D45"/>
    <mergeCell ref="E43:E45"/>
    <mergeCell ref="F43:F45"/>
    <mergeCell ref="G43:G45"/>
    <mergeCell ref="H43:H45"/>
    <mergeCell ref="I43:I45"/>
    <mergeCell ref="J43:J45"/>
    <mergeCell ref="K43:K45"/>
    <mergeCell ref="L43:L45"/>
    <mergeCell ref="M43:M45"/>
    <mergeCell ref="O43:O45"/>
    <mergeCell ref="P43:P45"/>
    <mergeCell ref="Q43:Q45"/>
    <mergeCell ref="J46:J48"/>
    <mergeCell ref="K46:K48"/>
    <mergeCell ref="L46:L48"/>
    <mergeCell ref="M46:M48"/>
    <mergeCell ref="O46:O48"/>
    <mergeCell ref="P46:P48"/>
    <mergeCell ref="Q46:Q48"/>
    <mergeCell ref="H49:H51"/>
    <mergeCell ref="I49:I51"/>
    <mergeCell ref="B46:B48"/>
    <mergeCell ref="C46:C48"/>
    <mergeCell ref="D46:D48"/>
    <mergeCell ref="E46:E48"/>
    <mergeCell ref="F46:F48"/>
    <mergeCell ref="G46:G48"/>
    <mergeCell ref="H46:H48"/>
    <mergeCell ref="I46:I48"/>
    <mergeCell ref="J49:J51"/>
    <mergeCell ref="K49:K51"/>
    <mergeCell ref="L49:L51"/>
    <mergeCell ref="M49:M51"/>
    <mergeCell ref="O49:O51"/>
    <mergeCell ref="P49:P51"/>
    <mergeCell ref="Q49:Q51"/>
    <mergeCell ref="A46:A48"/>
    <mergeCell ref="A52:A54"/>
    <mergeCell ref="B52:B54"/>
    <mergeCell ref="C52:C54"/>
    <mergeCell ref="D52:D54"/>
    <mergeCell ref="E52:E54"/>
    <mergeCell ref="F52:F54"/>
    <mergeCell ref="G52:G54"/>
    <mergeCell ref="H52:H54"/>
    <mergeCell ref="I52:I54"/>
    <mergeCell ref="B49:B51"/>
    <mergeCell ref="A49:A51"/>
    <mergeCell ref="C49:C51"/>
    <mergeCell ref="D49:D51"/>
    <mergeCell ref="E49:E51"/>
    <mergeCell ref="F49:F51"/>
    <mergeCell ref="G49:G51"/>
    <mergeCell ref="I55:I57"/>
    <mergeCell ref="P52:P54"/>
    <mergeCell ref="Q52:Q54"/>
    <mergeCell ref="Q55:Q57"/>
    <mergeCell ref="P55:P57"/>
    <mergeCell ref="O55:O57"/>
    <mergeCell ref="D58:D60"/>
    <mergeCell ref="E58:E60"/>
    <mergeCell ref="F58:F60"/>
    <mergeCell ref="G58:G60"/>
    <mergeCell ref="H58:H60"/>
    <mergeCell ref="J52:J54"/>
    <mergeCell ref="K52:K54"/>
    <mergeCell ref="L52:L54"/>
    <mergeCell ref="M52:M54"/>
    <mergeCell ref="O52:O54"/>
    <mergeCell ref="M55:M57"/>
    <mergeCell ref="L55:L57"/>
    <mergeCell ref="K55:K57"/>
    <mergeCell ref="J55:J57"/>
    <mergeCell ref="C55:C57"/>
    <mergeCell ref="B55:B57"/>
    <mergeCell ref="A55:A57"/>
    <mergeCell ref="A58:A60"/>
    <mergeCell ref="B58:B60"/>
    <mergeCell ref="C58:C60"/>
    <mergeCell ref="H55:H57"/>
    <mergeCell ref="G55:G57"/>
    <mergeCell ref="F55:F57"/>
    <mergeCell ref="E55:E57"/>
    <mergeCell ref="D55:D57"/>
    <mergeCell ref="J115:J117"/>
    <mergeCell ref="I115:I117"/>
    <mergeCell ref="O58:O60"/>
    <mergeCell ref="P58:P60"/>
    <mergeCell ref="Q58:Q60"/>
    <mergeCell ref="O61:O63"/>
    <mergeCell ref="P61:P63"/>
    <mergeCell ref="Q61:Q63"/>
    <mergeCell ref="O64:O66"/>
    <mergeCell ref="P64:P66"/>
    <mergeCell ref="Q64:Q66"/>
    <mergeCell ref="O67:O69"/>
    <mergeCell ref="I58:I60"/>
    <mergeCell ref="J58:J60"/>
    <mergeCell ref="K58:K60"/>
    <mergeCell ref="L58:L60"/>
    <mergeCell ref="M58:M60"/>
    <mergeCell ref="I112:I114"/>
    <mergeCell ref="J112:J114"/>
    <mergeCell ref="K112:K114"/>
    <mergeCell ref="L112:L114"/>
    <mergeCell ref="M112:M114"/>
    <mergeCell ref="I61:I63"/>
    <mergeCell ref="J61:J63"/>
    <mergeCell ref="C115:C117"/>
    <mergeCell ref="B115:B117"/>
    <mergeCell ref="A115:A117"/>
    <mergeCell ref="A112:A114"/>
    <mergeCell ref="B112:B114"/>
    <mergeCell ref="C112:C114"/>
    <mergeCell ref="H115:H117"/>
    <mergeCell ref="G115:G117"/>
    <mergeCell ref="F115:F117"/>
    <mergeCell ref="E115:E117"/>
    <mergeCell ref="D115:D117"/>
    <mergeCell ref="D112:D114"/>
    <mergeCell ref="E112:E114"/>
    <mergeCell ref="F112:F114"/>
    <mergeCell ref="G112:G114"/>
    <mergeCell ref="H112:H114"/>
    <mergeCell ref="D124:D126"/>
    <mergeCell ref="E124:E126"/>
    <mergeCell ref="F124:F126"/>
    <mergeCell ref="G124:G126"/>
    <mergeCell ref="A118:A120"/>
    <mergeCell ref="B118:B120"/>
    <mergeCell ref="C118:C120"/>
    <mergeCell ref="D118:D120"/>
    <mergeCell ref="E118:E120"/>
    <mergeCell ref="F118:F120"/>
    <mergeCell ref="G118:G120"/>
    <mergeCell ref="F121:F123"/>
    <mergeCell ref="G121:G123"/>
    <mergeCell ref="A121:A123"/>
    <mergeCell ref="B121:B123"/>
    <mergeCell ref="C121:C123"/>
    <mergeCell ref="D121:D123"/>
    <mergeCell ref="E121:E123"/>
    <mergeCell ref="M124:M126"/>
    <mergeCell ref="O124:O126"/>
    <mergeCell ref="P124:P126"/>
    <mergeCell ref="Q124:Q126"/>
    <mergeCell ref="A106:A108"/>
    <mergeCell ref="B106:B108"/>
    <mergeCell ref="C106:C108"/>
    <mergeCell ref="D106:D108"/>
    <mergeCell ref="E106:E108"/>
    <mergeCell ref="F106:F108"/>
    <mergeCell ref="G106:G108"/>
    <mergeCell ref="H106:H108"/>
    <mergeCell ref="I106:I108"/>
    <mergeCell ref="J106:J108"/>
    <mergeCell ref="K106:K108"/>
    <mergeCell ref="L106:L108"/>
    <mergeCell ref="H124:H126"/>
    <mergeCell ref="I124:I126"/>
    <mergeCell ref="J124:J126"/>
    <mergeCell ref="K124:K126"/>
    <mergeCell ref="L124:L126"/>
    <mergeCell ref="A124:A126"/>
    <mergeCell ref="B124:B126"/>
    <mergeCell ref="C124:C126"/>
    <mergeCell ref="A88:A90"/>
    <mergeCell ref="A82:A84"/>
    <mergeCell ref="A79:A81"/>
    <mergeCell ref="A76:A78"/>
    <mergeCell ref="A73:A75"/>
    <mergeCell ref="A103:A105"/>
    <mergeCell ref="A97:A99"/>
    <mergeCell ref="A94:A96"/>
    <mergeCell ref="A91:A93"/>
    <mergeCell ref="A85:A87"/>
    <mergeCell ref="A100:A102"/>
    <mergeCell ref="A67:A69"/>
    <mergeCell ref="A64:A66"/>
    <mergeCell ref="A61:A63"/>
    <mergeCell ref="B61:B63"/>
    <mergeCell ref="C61:C63"/>
    <mergeCell ref="B64:B66"/>
    <mergeCell ref="C64:C66"/>
    <mergeCell ref="B67:B69"/>
    <mergeCell ref="C67:C69"/>
    <mergeCell ref="K61:K63"/>
    <mergeCell ref="L61:L63"/>
    <mergeCell ref="M61:M63"/>
    <mergeCell ref="D61:D63"/>
    <mergeCell ref="E61:E63"/>
    <mergeCell ref="F61:F63"/>
    <mergeCell ref="G61:G63"/>
    <mergeCell ref="H61:H63"/>
    <mergeCell ref="G67:G69"/>
    <mergeCell ref="H67:H69"/>
    <mergeCell ref="I64:I66"/>
    <mergeCell ref="J64:J66"/>
    <mergeCell ref="K64:K66"/>
    <mergeCell ref="L64:L66"/>
    <mergeCell ref="M64:M66"/>
    <mergeCell ref="D64:D66"/>
    <mergeCell ref="E64:E66"/>
    <mergeCell ref="F64:F66"/>
    <mergeCell ref="G64:G66"/>
    <mergeCell ref="H64:H66"/>
    <mergeCell ref="P67:P69"/>
    <mergeCell ref="Q67:Q69"/>
    <mergeCell ref="B73:B75"/>
    <mergeCell ref="C73:C75"/>
    <mergeCell ref="D73:D75"/>
    <mergeCell ref="E73:E75"/>
    <mergeCell ref="F73:F75"/>
    <mergeCell ref="G73:G75"/>
    <mergeCell ref="H73:H75"/>
    <mergeCell ref="I73:I75"/>
    <mergeCell ref="J73:J75"/>
    <mergeCell ref="K73:K75"/>
    <mergeCell ref="L73:L75"/>
    <mergeCell ref="M73:M75"/>
    <mergeCell ref="O73:O75"/>
    <mergeCell ref="P73:P75"/>
    <mergeCell ref="I67:I69"/>
    <mergeCell ref="J67:J69"/>
    <mergeCell ref="K67:K69"/>
    <mergeCell ref="L67:L69"/>
    <mergeCell ref="M67:M69"/>
    <mergeCell ref="D67:D69"/>
    <mergeCell ref="E67:E69"/>
    <mergeCell ref="F67:F69"/>
    <mergeCell ref="B79:B81"/>
    <mergeCell ref="C79:C81"/>
    <mergeCell ref="D79:D81"/>
    <mergeCell ref="E79:E81"/>
    <mergeCell ref="F79:F81"/>
    <mergeCell ref="Q73:Q75"/>
    <mergeCell ref="B76:B78"/>
    <mergeCell ref="C76:C78"/>
    <mergeCell ref="D76:D78"/>
    <mergeCell ref="E76:E78"/>
    <mergeCell ref="F76:F78"/>
    <mergeCell ref="G76:G78"/>
    <mergeCell ref="H76:H78"/>
    <mergeCell ref="I76:I78"/>
    <mergeCell ref="J76:J78"/>
    <mergeCell ref="K76:K78"/>
    <mergeCell ref="L76:L78"/>
    <mergeCell ref="M76:M78"/>
    <mergeCell ref="O76:O78"/>
    <mergeCell ref="P76:P78"/>
    <mergeCell ref="Q76:Q78"/>
    <mergeCell ref="L79:L81"/>
    <mergeCell ref="M79:M81"/>
    <mergeCell ref="O79:O81"/>
    <mergeCell ref="P79:P81"/>
    <mergeCell ref="Q79:Q81"/>
    <mergeCell ref="G79:G81"/>
    <mergeCell ref="H79:H81"/>
    <mergeCell ref="I79:I81"/>
    <mergeCell ref="J79:J81"/>
    <mergeCell ref="K79:K81"/>
    <mergeCell ref="K82:K84"/>
    <mergeCell ref="J82:J84"/>
    <mergeCell ref="I82:I84"/>
    <mergeCell ref="H82:H84"/>
    <mergeCell ref="G82:G84"/>
    <mergeCell ref="Q82:Q84"/>
    <mergeCell ref="P82:P84"/>
    <mergeCell ref="O82:O84"/>
    <mergeCell ref="M82:M84"/>
    <mergeCell ref="L82:L84"/>
    <mergeCell ref="F82:F84"/>
    <mergeCell ref="E82:E84"/>
    <mergeCell ref="D82:D84"/>
    <mergeCell ref="C82:C84"/>
    <mergeCell ref="B82:B84"/>
    <mergeCell ref="B85:B87"/>
    <mergeCell ref="C85:C87"/>
    <mergeCell ref="D85:D87"/>
    <mergeCell ref="E85:E87"/>
    <mergeCell ref="F85:F87"/>
    <mergeCell ref="Q88:Q90"/>
    <mergeCell ref="G88:G90"/>
    <mergeCell ref="H88:H90"/>
    <mergeCell ref="I88:I90"/>
    <mergeCell ref="J88:J90"/>
    <mergeCell ref="K88:K90"/>
    <mergeCell ref="B88:B90"/>
    <mergeCell ref="C88:C90"/>
    <mergeCell ref="D88:D90"/>
    <mergeCell ref="E88:E90"/>
    <mergeCell ref="F88:F90"/>
    <mergeCell ref="B91:B93"/>
    <mergeCell ref="C91:C93"/>
    <mergeCell ref="D91:D93"/>
    <mergeCell ref="E91:E93"/>
    <mergeCell ref="F91:F93"/>
    <mergeCell ref="L88:L90"/>
    <mergeCell ref="M88:M90"/>
    <mergeCell ref="O88:O90"/>
    <mergeCell ref="P88:P90"/>
    <mergeCell ref="L91:L93"/>
    <mergeCell ref="M91:M93"/>
    <mergeCell ref="O91:O93"/>
    <mergeCell ref="P91:P93"/>
    <mergeCell ref="Q91:Q93"/>
    <mergeCell ref="G91:G93"/>
    <mergeCell ref="H91:H93"/>
    <mergeCell ref="I91:I93"/>
    <mergeCell ref="J91:J93"/>
    <mergeCell ref="K91:K93"/>
    <mergeCell ref="E94:E96"/>
    <mergeCell ref="D94:D96"/>
    <mergeCell ref="C94:C96"/>
    <mergeCell ref="B94:B96"/>
    <mergeCell ref="K94:K96"/>
    <mergeCell ref="J94:J96"/>
    <mergeCell ref="I94:I96"/>
    <mergeCell ref="H94:H96"/>
    <mergeCell ref="G94:G96"/>
    <mergeCell ref="O97:O99"/>
    <mergeCell ref="P97:P99"/>
    <mergeCell ref="Q97:Q99"/>
    <mergeCell ref="G97:G99"/>
    <mergeCell ref="H97:H99"/>
    <mergeCell ref="I97:I99"/>
    <mergeCell ref="J97:J99"/>
    <mergeCell ref="K97:K99"/>
    <mergeCell ref="F94:F96"/>
    <mergeCell ref="Q94:Q96"/>
    <mergeCell ref="P94:P96"/>
    <mergeCell ref="O94:O96"/>
    <mergeCell ref="M94:M96"/>
    <mergeCell ref="L94:L96"/>
    <mergeCell ref="B97:B99"/>
    <mergeCell ref="C97:C99"/>
    <mergeCell ref="D97:D99"/>
    <mergeCell ref="E97:E99"/>
    <mergeCell ref="F97:F99"/>
    <mergeCell ref="K100:K102"/>
    <mergeCell ref="L100:L102"/>
    <mergeCell ref="N100:N102"/>
    <mergeCell ref="M100:M102"/>
    <mergeCell ref="L97:L99"/>
    <mergeCell ref="M97:M99"/>
    <mergeCell ref="B103:B105"/>
    <mergeCell ref="C103:C105"/>
    <mergeCell ref="D103:D105"/>
    <mergeCell ref="E103:E105"/>
    <mergeCell ref="F103:F105"/>
    <mergeCell ref="G103:G105"/>
    <mergeCell ref="H103:H105"/>
    <mergeCell ref="I103:I105"/>
    <mergeCell ref="J103:J105"/>
    <mergeCell ref="K103:K105"/>
    <mergeCell ref="M106:M108"/>
    <mergeCell ref="O106:O108"/>
    <mergeCell ref="P106:P108"/>
    <mergeCell ref="Q106:Q108"/>
    <mergeCell ref="L103:L105"/>
    <mergeCell ref="M103:M105"/>
    <mergeCell ref="O103:O105"/>
    <mergeCell ref="P103:P105"/>
    <mergeCell ref="Q103:Q105"/>
    <mergeCell ref="Q121:Q123"/>
    <mergeCell ref="P121:P123"/>
    <mergeCell ref="O121:O123"/>
    <mergeCell ref="M121:M123"/>
    <mergeCell ref="M118:M120"/>
    <mergeCell ref="O118:O120"/>
    <mergeCell ref="P118:P120"/>
    <mergeCell ref="Q118:Q120"/>
    <mergeCell ref="H118:H120"/>
    <mergeCell ref="I118:I120"/>
    <mergeCell ref="J118:J120"/>
    <mergeCell ref="K118:K120"/>
    <mergeCell ref="L118:L120"/>
    <mergeCell ref="K121:K123"/>
    <mergeCell ref="L121:L123"/>
    <mergeCell ref="H121:H123"/>
    <mergeCell ref="I121:I123"/>
    <mergeCell ref="J121:J123"/>
    <mergeCell ref="G109:G111"/>
    <mergeCell ref="H109:H111"/>
    <mergeCell ref="I109:I111"/>
    <mergeCell ref="J109:J111"/>
    <mergeCell ref="A109:A111"/>
    <mergeCell ref="B109:B111"/>
    <mergeCell ref="C109:C111"/>
    <mergeCell ref="D109:D111"/>
    <mergeCell ref="E109:E111"/>
    <mergeCell ref="B127:B129"/>
    <mergeCell ref="C127:C129"/>
    <mergeCell ref="D127:D129"/>
    <mergeCell ref="E127:E129"/>
    <mergeCell ref="F127:F129"/>
    <mergeCell ref="G127:G129"/>
    <mergeCell ref="H127:H129"/>
    <mergeCell ref="I127:I129"/>
    <mergeCell ref="Q109:Q111"/>
    <mergeCell ref="O112:O114"/>
    <mergeCell ref="P112:P114"/>
    <mergeCell ref="Q112:Q114"/>
    <mergeCell ref="O115:O117"/>
    <mergeCell ref="P115:P117"/>
    <mergeCell ref="Q115:Q117"/>
    <mergeCell ref="K109:K111"/>
    <mergeCell ref="L109:L111"/>
    <mergeCell ref="M109:M111"/>
    <mergeCell ref="O109:O111"/>
    <mergeCell ref="P109:P111"/>
    <mergeCell ref="M115:M117"/>
    <mergeCell ref="L115:L117"/>
    <mergeCell ref="K115:K117"/>
    <mergeCell ref="F109:F111"/>
    <mergeCell ref="J127:J129"/>
    <mergeCell ref="K127:K129"/>
    <mergeCell ref="L127:L129"/>
    <mergeCell ref="M127:M129"/>
    <mergeCell ref="O127:O129"/>
    <mergeCell ref="P127:P129"/>
    <mergeCell ref="Q127:Q129"/>
    <mergeCell ref="A130:A132"/>
    <mergeCell ref="B130:B132"/>
    <mergeCell ref="C130:C132"/>
    <mergeCell ref="D130:D132"/>
    <mergeCell ref="E130:E132"/>
    <mergeCell ref="F130:F132"/>
    <mergeCell ref="G130:G132"/>
    <mergeCell ref="H130:H132"/>
    <mergeCell ref="I130:I132"/>
    <mergeCell ref="J130:J132"/>
    <mergeCell ref="K130:K132"/>
    <mergeCell ref="L130:L132"/>
    <mergeCell ref="M130:M132"/>
    <mergeCell ref="O130:O132"/>
    <mergeCell ref="P130:P132"/>
    <mergeCell ref="Q130:Q132"/>
    <mergeCell ref="A127:A129"/>
    <mergeCell ref="K136:K138"/>
    <mergeCell ref="L136:L138"/>
    <mergeCell ref="M136:M138"/>
    <mergeCell ref="O136:O138"/>
    <mergeCell ref="P136:P138"/>
    <mergeCell ref="Q136:Q138"/>
    <mergeCell ref="A133:A135"/>
    <mergeCell ref="B133:B135"/>
    <mergeCell ref="J133:J135"/>
    <mergeCell ref="A136:A138"/>
    <mergeCell ref="B136:B138"/>
    <mergeCell ref="C136:C138"/>
    <mergeCell ref="D136:D138"/>
    <mergeCell ref="E136:E138"/>
    <mergeCell ref="F136:F138"/>
    <mergeCell ref="G136:G138"/>
    <mergeCell ref="H136:H138"/>
    <mergeCell ref="I136:I138"/>
    <mergeCell ref="Q139:Q141"/>
    <mergeCell ref="K142:K144"/>
    <mergeCell ref="L142:L144"/>
    <mergeCell ref="M142:M144"/>
    <mergeCell ref="O142:O144"/>
    <mergeCell ref="P142:P144"/>
    <mergeCell ref="Q142:Q144"/>
    <mergeCell ref="C133:C135"/>
    <mergeCell ref="D133:D135"/>
    <mergeCell ref="E133:E135"/>
    <mergeCell ref="F133:F135"/>
    <mergeCell ref="G133:G135"/>
    <mergeCell ref="H133:H135"/>
    <mergeCell ref="I133:I135"/>
    <mergeCell ref="K133:K135"/>
    <mergeCell ref="M139:M141"/>
    <mergeCell ref="D139:D141"/>
    <mergeCell ref="C139:C141"/>
    <mergeCell ref="L133:L135"/>
    <mergeCell ref="M133:M135"/>
    <mergeCell ref="O133:O135"/>
    <mergeCell ref="P133:P135"/>
    <mergeCell ref="Q133:Q135"/>
    <mergeCell ref="J136:J138"/>
    <mergeCell ref="K145:K147"/>
    <mergeCell ref="L145:L147"/>
    <mergeCell ref="M145:M147"/>
    <mergeCell ref="O145:O147"/>
    <mergeCell ref="P145:P147"/>
    <mergeCell ref="Q145:Q147"/>
    <mergeCell ref="A142:A144"/>
    <mergeCell ref="B142:B144"/>
    <mergeCell ref="A145:A147"/>
    <mergeCell ref="B145:B147"/>
    <mergeCell ref="C145:C147"/>
    <mergeCell ref="D145:D147"/>
    <mergeCell ref="E145:E147"/>
    <mergeCell ref="F145:F147"/>
    <mergeCell ref="G145:G147"/>
    <mergeCell ref="H145:H147"/>
    <mergeCell ref="I145:I147"/>
    <mergeCell ref="C148:C150"/>
    <mergeCell ref="D148:D150"/>
    <mergeCell ref="E148:E150"/>
    <mergeCell ref="F148:F150"/>
    <mergeCell ref="G148:G150"/>
    <mergeCell ref="H148:H150"/>
    <mergeCell ref="I148:I150"/>
    <mergeCell ref="J142:J144"/>
    <mergeCell ref="C142:C144"/>
    <mergeCell ref="D142:D144"/>
    <mergeCell ref="E142:E144"/>
    <mergeCell ref="F142:F144"/>
    <mergeCell ref="G142:G144"/>
    <mergeCell ref="H142:H144"/>
    <mergeCell ref="I142:I144"/>
    <mergeCell ref="J148:J150"/>
    <mergeCell ref="J145:J147"/>
    <mergeCell ref="K148:K150"/>
    <mergeCell ref="L148:L150"/>
    <mergeCell ref="M148:M150"/>
    <mergeCell ref="O148:O150"/>
    <mergeCell ref="P148:P150"/>
    <mergeCell ref="Q148:Q150"/>
    <mergeCell ref="A151:A153"/>
    <mergeCell ref="B151:B153"/>
    <mergeCell ref="C151:C153"/>
    <mergeCell ref="D151:D153"/>
    <mergeCell ref="E151:E153"/>
    <mergeCell ref="F151:F153"/>
    <mergeCell ref="G151:G153"/>
    <mergeCell ref="H151:H153"/>
    <mergeCell ref="I151:I153"/>
    <mergeCell ref="J151:J153"/>
    <mergeCell ref="K151:K153"/>
    <mergeCell ref="L151:L153"/>
    <mergeCell ref="M151:M153"/>
    <mergeCell ref="O151:O153"/>
    <mergeCell ref="P151:P153"/>
    <mergeCell ref="Q151:Q153"/>
    <mergeCell ref="A148:A150"/>
    <mergeCell ref="B148:B150"/>
    <mergeCell ref="B139:B141"/>
    <mergeCell ref="A139:A141"/>
    <mergeCell ref="O100:O102"/>
    <mergeCell ref="P100:P102"/>
    <mergeCell ref="Q100:Q102"/>
    <mergeCell ref="J139:J141"/>
    <mergeCell ref="I139:I141"/>
    <mergeCell ref="H139:H141"/>
    <mergeCell ref="G139:G141"/>
    <mergeCell ref="F139:F141"/>
    <mergeCell ref="E139:E141"/>
    <mergeCell ref="B100:B102"/>
    <mergeCell ref="C100:C102"/>
    <mergeCell ref="D100:D102"/>
    <mergeCell ref="E100:E102"/>
    <mergeCell ref="F100:F102"/>
    <mergeCell ref="G100:G102"/>
    <mergeCell ref="H100:H102"/>
    <mergeCell ref="I100:I102"/>
    <mergeCell ref="J100:J102"/>
    <mergeCell ref="K139:K141"/>
    <mergeCell ref="L139:L141"/>
    <mergeCell ref="O139:O141"/>
    <mergeCell ref="P139:P141"/>
  </mergeCells>
  <conditionalFormatting sqref="K7 AB7:AB16">
    <cfRule type="cellIs" dxfId="2596" priority="3309" operator="equal">
      <formula>"Muy Alta"</formula>
    </cfRule>
    <cfRule type="cellIs" dxfId="2595" priority="3310" operator="equal">
      <formula>"Alta"</formula>
    </cfRule>
    <cfRule type="cellIs" dxfId="2594" priority="3311" operator="equal">
      <formula>"Media"</formula>
    </cfRule>
    <cfRule type="cellIs" dxfId="2593" priority="3312" operator="equal">
      <formula>"Baja"</formula>
    </cfRule>
    <cfRule type="cellIs" dxfId="2592" priority="3313" operator="equal">
      <formula>"Muy Baja"</formula>
    </cfRule>
  </conditionalFormatting>
  <conditionalFormatting sqref="Q7 AF7:AF16">
    <cfRule type="cellIs" dxfId="2591" priority="3300" operator="equal">
      <formula>"Extremo"</formula>
    </cfRule>
    <cfRule type="cellIs" dxfId="2590" priority="3301" operator="equal">
      <formula>"Alto"</formula>
    </cfRule>
    <cfRule type="cellIs" dxfId="2589" priority="3302" operator="equal">
      <formula>"Moderado"</formula>
    </cfRule>
    <cfRule type="cellIs" dxfId="2588" priority="3303" operator="equal">
      <formula>"Bajo"</formula>
    </cfRule>
  </conditionalFormatting>
  <conditionalFormatting sqref="AB49 AB55 AB58 AB61 AB64 AB67 AB79 AB82 AB88 AB91 AB97:AB98 AB106 AB19 AB22">
    <cfRule type="cellIs" dxfId="2587" priority="3295" operator="equal">
      <formula>"Muy Alta"</formula>
    </cfRule>
    <cfRule type="cellIs" dxfId="2586" priority="3296" operator="equal">
      <formula>"Alta"</formula>
    </cfRule>
    <cfRule type="cellIs" dxfId="2585" priority="3297" operator="equal">
      <formula>"Media"</formula>
    </cfRule>
    <cfRule type="cellIs" dxfId="2584" priority="3298" operator="equal">
      <formula>"Baja"</formula>
    </cfRule>
    <cfRule type="cellIs" dxfId="2583" priority="3299" operator="equal">
      <formula>"Muy Baja"</formula>
    </cfRule>
  </conditionalFormatting>
  <conditionalFormatting sqref="AD49 AD55 AD58 AD61 AD64 AD67 AD79 AD82 AD88 AD91 AD97:AD98 AD106 AD19 AD22 AD7:AD16">
    <cfRule type="cellIs" dxfId="2582" priority="3290" operator="equal">
      <formula>"Catastrófico"</formula>
    </cfRule>
    <cfRule type="cellIs" dxfId="2581" priority="3291" operator="equal">
      <formula>"Mayor"</formula>
    </cfRule>
    <cfRule type="cellIs" dxfId="2580" priority="3292" operator="equal">
      <formula>"Moderado"</formula>
    </cfRule>
    <cfRule type="cellIs" dxfId="2579" priority="3293" operator="equal">
      <formula>"Menor"</formula>
    </cfRule>
    <cfRule type="cellIs" dxfId="2578" priority="3294" operator="equal">
      <formula>"Leve"</formula>
    </cfRule>
  </conditionalFormatting>
  <conditionalFormatting sqref="AF49 AF55 AF58 AF61 AF64 AF67 AF79 AF82 AF88 AF91 AF97:AF98 AF106 AF19 AF22">
    <cfRule type="cellIs" dxfId="2577" priority="3286" operator="equal">
      <formula>"Extremo"</formula>
    </cfRule>
    <cfRule type="cellIs" dxfId="2576" priority="3287" operator="equal">
      <formula>"Alto"</formula>
    </cfRule>
    <cfRule type="cellIs" dxfId="2575" priority="3288" operator="equal">
      <formula>"Moderado"</formula>
    </cfRule>
    <cfRule type="cellIs" dxfId="2574" priority="3289" operator="equal">
      <formula>"Bajo"</formula>
    </cfRule>
  </conditionalFormatting>
  <conditionalFormatting sqref="K97:K98">
    <cfRule type="cellIs" dxfId="2573" priority="1423" operator="equal">
      <formula>"Muy Alta"</formula>
    </cfRule>
    <cfRule type="cellIs" dxfId="2572" priority="1424" operator="equal">
      <formula>"Alta"</formula>
    </cfRule>
    <cfRule type="cellIs" dxfId="2571" priority="1425" operator="equal">
      <formula>"Media"</formula>
    </cfRule>
    <cfRule type="cellIs" dxfId="2570" priority="1426" operator="equal">
      <formula>"Baja"</formula>
    </cfRule>
    <cfRule type="cellIs" dxfId="2569" priority="1427" operator="equal">
      <formula>"Muy Baja"</formula>
    </cfRule>
  </conditionalFormatting>
  <conditionalFormatting sqref="K82">
    <cfRule type="cellIs" dxfId="2568" priority="1483" operator="equal">
      <formula>"Muy Alta"</formula>
    </cfRule>
    <cfRule type="cellIs" dxfId="2567" priority="1484" operator="equal">
      <formula>"Alta"</formula>
    </cfRule>
    <cfRule type="cellIs" dxfId="2566" priority="1485" operator="equal">
      <formula>"Media"</formula>
    </cfRule>
    <cfRule type="cellIs" dxfId="2565" priority="1486" operator="equal">
      <formula>"Baja"</formula>
    </cfRule>
    <cfRule type="cellIs" dxfId="2564" priority="1487" operator="equal">
      <formula>"Muy Baja"</formula>
    </cfRule>
  </conditionalFormatting>
  <conditionalFormatting sqref="N7:N9">
    <cfRule type="containsText" dxfId="2563" priority="2991" operator="containsText" text="❌">
      <formula>NOT(ISERROR(SEARCH("❌",N7)))</formula>
    </cfRule>
  </conditionalFormatting>
  <conditionalFormatting sqref="AD52">
    <cfRule type="cellIs" dxfId="2562" priority="2469" operator="equal">
      <formula>"Catastrófico"</formula>
    </cfRule>
    <cfRule type="cellIs" dxfId="2561" priority="2470" operator="equal">
      <formula>"Mayor"</formula>
    </cfRule>
    <cfRule type="cellIs" dxfId="2560" priority="2471" operator="equal">
      <formula>"Moderado"</formula>
    </cfRule>
    <cfRule type="cellIs" dxfId="2559" priority="2472" operator="equal">
      <formula>"Menor"</formula>
    </cfRule>
    <cfRule type="cellIs" dxfId="2558" priority="2473" operator="equal">
      <formula>"Leve"</formula>
    </cfRule>
  </conditionalFormatting>
  <conditionalFormatting sqref="AF52">
    <cfRule type="cellIs" dxfId="2557" priority="2465" operator="equal">
      <formula>"Extremo"</formula>
    </cfRule>
    <cfRule type="cellIs" dxfId="2556" priority="2466" operator="equal">
      <formula>"Alto"</formula>
    </cfRule>
    <cfRule type="cellIs" dxfId="2555" priority="2467" operator="equal">
      <formula>"Moderado"</formula>
    </cfRule>
    <cfRule type="cellIs" dxfId="2554" priority="2468" operator="equal">
      <formula>"Bajo"</formula>
    </cfRule>
  </conditionalFormatting>
  <conditionalFormatting sqref="AF50">
    <cfRule type="cellIs" dxfId="2553" priority="2479" operator="equal">
      <formula>"Extremo"</formula>
    </cfRule>
    <cfRule type="cellIs" dxfId="2552" priority="2480" operator="equal">
      <formula>"Alto"</formula>
    </cfRule>
    <cfRule type="cellIs" dxfId="2551" priority="2481" operator="equal">
      <formula>"Moderado"</formula>
    </cfRule>
    <cfRule type="cellIs" dxfId="2550" priority="2482" operator="equal">
      <formula>"Bajo"</formula>
    </cfRule>
  </conditionalFormatting>
  <conditionalFormatting sqref="AB23">
    <cfRule type="cellIs" dxfId="2549" priority="2894" operator="equal">
      <formula>"Muy Alta"</formula>
    </cfRule>
    <cfRule type="cellIs" dxfId="2548" priority="2895" operator="equal">
      <formula>"Alta"</formula>
    </cfRule>
    <cfRule type="cellIs" dxfId="2547" priority="2896" operator="equal">
      <formula>"Media"</formula>
    </cfRule>
    <cfRule type="cellIs" dxfId="2546" priority="2897" operator="equal">
      <formula>"Baja"</formula>
    </cfRule>
    <cfRule type="cellIs" dxfId="2545" priority="2898" operator="equal">
      <formula>"Muy Baja"</formula>
    </cfRule>
  </conditionalFormatting>
  <conditionalFormatting sqref="AD23">
    <cfRule type="cellIs" dxfId="2544" priority="2889" operator="equal">
      <formula>"Catastrófico"</formula>
    </cfRule>
    <cfRule type="cellIs" dxfId="2543" priority="2890" operator="equal">
      <formula>"Mayor"</formula>
    </cfRule>
    <cfRule type="cellIs" dxfId="2542" priority="2891" operator="equal">
      <formula>"Moderado"</formula>
    </cfRule>
    <cfRule type="cellIs" dxfId="2541" priority="2892" operator="equal">
      <formula>"Menor"</formula>
    </cfRule>
    <cfRule type="cellIs" dxfId="2540" priority="2893" operator="equal">
      <formula>"Leve"</formula>
    </cfRule>
  </conditionalFormatting>
  <conditionalFormatting sqref="AF23">
    <cfRule type="cellIs" dxfId="2539" priority="2885" operator="equal">
      <formula>"Extremo"</formula>
    </cfRule>
    <cfRule type="cellIs" dxfId="2538" priority="2886" operator="equal">
      <formula>"Alto"</formula>
    </cfRule>
    <cfRule type="cellIs" dxfId="2537" priority="2887" operator="equal">
      <formula>"Moderado"</formula>
    </cfRule>
    <cfRule type="cellIs" dxfId="2536" priority="2888" operator="equal">
      <formula>"Bajo"</formula>
    </cfRule>
  </conditionalFormatting>
  <conditionalFormatting sqref="AB24">
    <cfRule type="cellIs" dxfId="2535" priority="2880" operator="equal">
      <formula>"Muy Alta"</formula>
    </cfRule>
    <cfRule type="cellIs" dxfId="2534" priority="2881" operator="equal">
      <formula>"Alta"</formula>
    </cfRule>
    <cfRule type="cellIs" dxfId="2533" priority="2882" operator="equal">
      <formula>"Media"</formula>
    </cfRule>
    <cfRule type="cellIs" dxfId="2532" priority="2883" operator="equal">
      <formula>"Baja"</formula>
    </cfRule>
    <cfRule type="cellIs" dxfId="2531" priority="2884" operator="equal">
      <formula>"Muy Baja"</formula>
    </cfRule>
  </conditionalFormatting>
  <conditionalFormatting sqref="AD24">
    <cfRule type="cellIs" dxfId="2530" priority="2875" operator="equal">
      <formula>"Catastrófico"</formula>
    </cfRule>
    <cfRule type="cellIs" dxfId="2529" priority="2876" operator="equal">
      <formula>"Mayor"</formula>
    </cfRule>
    <cfRule type="cellIs" dxfId="2528" priority="2877" operator="equal">
      <formula>"Moderado"</formula>
    </cfRule>
    <cfRule type="cellIs" dxfId="2527" priority="2878" operator="equal">
      <formula>"Menor"</formula>
    </cfRule>
    <cfRule type="cellIs" dxfId="2526" priority="2879" operator="equal">
      <formula>"Leve"</formula>
    </cfRule>
  </conditionalFormatting>
  <conditionalFormatting sqref="AF24">
    <cfRule type="cellIs" dxfId="2525" priority="2871" operator="equal">
      <formula>"Extremo"</formula>
    </cfRule>
    <cfRule type="cellIs" dxfId="2524" priority="2872" operator="equal">
      <formula>"Alto"</formula>
    </cfRule>
    <cfRule type="cellIs" dxfId="2523" priority="2873" operator="equal">
      <formula>"Moderado"</formula>
    </cfRule>
    <cfRule type="cellIs" dxfId="2522" priority="2874" operator="equal">
      <formula>"Bajo"</formula>
    </cfRule>
  </conditionalFormatting>
  <conditionalFormatting sqref="AB25">
    <cfRule type="cellIs" dxfId="2521" priority="2866" operator="equal">
      <formula>"Muy Alta"</formula>
    </cfRule>
    <cfRule type="cellIs" dxfId="2520" priority="2867" operator="equal">
      <formula>"Alta"</formula>
    </cfRule>
    <cfRule type="cellIs" dxfId="2519" priority="2868" operator="equal">
      <formula>"Media"</formula>
    </cfRule>
    <cfRule type="cellIs" dxfId="2518" priority="2869" operator="equal">
      <formula>"Baja"</formula>
    </cfRule>
    <cfRule type="cellIs" dxfId="2517" priority="2870" operator="equal">
      <formula>"Muy Baja"</formula>
    </cfRule>
  </conditionalFormatting>
  <conditionalFormatting sqref="AD25">
    <cfRule type="cellIs" dxfId="2516" priority="2861" operator="equal">
      <formula>"Catastrófico"</formula>
    </cfRule>
    <cfRule type="cellIs" dxfId="2515" priority="2862" operator="equal">
      <formula>"Mayor"</formula>
    </cfRule>
    <cfRule type="cellIs" dxfId="2514" priority="2863" operator="equal">
      <formula>"Moderado"</formula>
    </cfRule>
    <cfRule type="cellIs" dxfId="2513" priority="2864" operator="equal">
      <formula>"Menor"</formula>
    </cfRule>
    <cfRule type="cellIs" dxfId="2512" priority="2865" operator="equal">
      <formula>"Leve"</formula>
    </cfRule>
  </conditionalFormatting>
  <conditionalFormatting sqref="AF25">
    <cfRule type="cellIs" dxfId="2511" priority="2857" operator="equal">
      <formula>"Extremo"</formula>
    </cfRule>
    <cfRule type="cellIs" dxfId="2510" priority="2858" operator="equal">
      <formula>"Alto"</formula>
    </cfRule>
    <cfRule type="cellIs" dxfId="2509" priority="2859" operator="equal">
      <formula>"Moderado"</formula>
    </cfRule>
    <cfRule type="cellIs" dxfId="2508" priority="2860" operator="equal">
      <formula>"Bajo"</formula>
    </cfRule>
  </conditionalFormatting>
  <conditionalFormatting sqref="AB26">
    <cfRule type="cellIs" dxfId="2507" priority="2852" operator="equal">
      <formula>"Muy Alta"</formula>
    </cfRule>
    <cfRule type="cellIs" dxfId="2506" priority="2853" operator="equal">
      <formula>"Alta"</formula>
    </cfRule>
    <cfRule type="cellIs" dxfId="2505" priority="2854" operator="equal">
      <formula>"Media"</formula>
    </cfRule>
    <cfRule type="cellIs" dxfId="2504" priority="2855" operator="equal">
      <formula>"Baja"</formula>
    </cfRule>
    <cfRule type="cellIs" dxfId="2503" priority="2856" operator="equal">
      <formula>"Muy Baja"</formula>
    </cfRule>
  </conditionalFormatting>
  <conditionalFormatting sqref="AD26">
    <cfRule type="cellIs" dxfId="2502" priority="2847" operator="equal">
      <formula>"Catastrófico"</formula>
    </cfRule>
    <cfRule type="cellIs" dxfId="2501" priority="2848" operator="equal">
      <formula>"Mayor"</formula>
    </cfRule>
    <cfRule type="cellIs" dxfId="2500" priority="2849" operator="equal">
      <formula>"Moderado"</formula>
    </cfRule>
    <cfRule type="cellIs" dxfId="2499" priority="2850" operator="equal">
      <formula>"Menor"</formula>
    </cfRule>
    <cfRule type="cellIs" dxfId="2498" priority="2851" operator="equal">
      <formula>"Leve"</formula>
    </cfRule>
  </conditionalFormatting>
  <conditionalFormatting sqref="AF26">
    <cfRule type="cellIs" dxfId="2497" priority="2843" operator="equal">
      <formula>"Extremo"</formula>
    </cfRule>
    <cfRule type="cellIs" dxfId="2496" priority="2844" operator="equal">
      <formula>"Alto"</formula>
    </cfRule>
    <cfRule type="cellIs" dxfId="2495" priority="2845" operator="equal">
      <formula>"Moderado"</formula>
    </cfRule>
    <cfRule type="cellIs" dxfId="2494" priority="2846" operator="equal">
      <formula>"Bajo"</formula>
    </cfRule>
  </conditionalFormatting>
  <conditionalFormatting sqref="AB27">
    <cfRule type="cellIs" dxfId="2493" priority="2838" operator="equal">
      <formula>"Muy Alta"</formula>
    </cfRule>
    <cfRule type="cellIs" dxfId="2492" priority="2839" operator="equal">
      <formula>"Alta"</formula>
    </cfRule>
    <cfRule type="cellIs" dxfId="2491" priority="2840" operator="equal">
      <formula>"Media"</formula>
    </cfRule>
    <cfRule type="cellIs" dxfId="2490" priority="2841" operator="equal">
      <formula>"Baja"</formula>
    </cfRule>
    <cfRule type="cellIs" dxfId="2489" priority="2842" operator="equal">
      <formula>"Muy Baja"</formula>
    </cfRule>
  </conditionalFormatting>
  <conditionalFormatting sqref="AD27">
    <cfRule type="cellIs" dxfId="2488" priority="2833" operator="equal">
      <formula>"Catastrófico"</formula>
    </cfRule>
    <cfRule type="cellIs" dxfId="2487" priority="2834" operator="equal">
      <formula>"Mayor"</formula>
    </cfRule>
    <cfRule type="cellIs" dxfId="2486" priority="2835" operator="equal">
      <formula>"Moderado"</formula>
    </cfRule>
    <cfRule type="cellIs" dxfId="2485" priority="2836" operator="equal">
      <formula>"Menor"</formula>
    </cfRule>
    <cfRule type="cellIs" dxfId="2484" priority="2837" operator="equal">
      <formula>"Leve"</formula>
    </cfRule>
  </conditionalFormatting>
  <conditionalFormatting sqref="AF27">
    <cfRule type="cellIs" dxfId="2483" priority="2829" operator="equal">
      <formula>"Extremo"</formula>
    </cfRule>
    <cfRule type="cellIs" dxfId="2482" priority="2830" operator="equal">
      <formula>"Alto"</formula>
    </cfRule>
    <cfRule type="cellIs" dxfId="2481" priority="2831" operator="equal">
      <formula>"Moderado"</formula>
    </cfRule>
    <cfRule type="cellIs" dxfId="2480" priority="2832" operator="equal">
      <formula>"Bajo"</formula>
    </cfRule>
  </conditionalFormatting>
  <conditionalFormatting sqref="AB28">
    <cfRule type="cellIs" dxfId="2479" priority="2824" operator="equal">
      <formula>"Muy Alta"</formula>
    </cfRule>
    <cfRule type="cellIs" dxfId="2478" priority="2825" operator="equal">
      <formula>"Alta"</formula>
    </cfRule>
    <cfRule type="cellIs" dxfId="2477" priority="2826" operator="equal">
      <formula>"Media"</formula>
    </cfRule>
    <cfRule type="cellIs" dxfId="2476" priority="2827" operator="equal">
      <formula>"Baja"</formula>
    </cfRule>
    <cfRule type="cellIs" dxfId="2475" priority="2828" operator="equal">
      <formula>"Muy Baja"</formula>
    </cfRule>
  </conditionalFormatting>
  <conditionalFormatting sqref="AD28">
    <cfRule type="cellIs" dxfId="2474" priority="2819" operator="equal">
      <formula>"Catastrófico"</formula>
    </cfRule>
    <cfRule type="cellIs" dxfId="2473" priority="2820" operator="equal">
      <formula>"Mayor"</formula>
    </cfRule>
    <cfRule type="cellIs" dxfId="2472" priority="2821" operator="equal">
      <formula>"Moderado"</formula>
    </cfRule>
    <cfRule type="cellIs" dxfId="2471" priority="2822" operator="equal">
      <formula>"Menor"</formula>
    </cfRule>
    <cfRule type="cellIs" dxfId="2470" priority="2823" operator="equal">
      <formula>"Leve"</formula>
    </cfRule>
  </conditionalFormatting>
  <conditionalFormatting sqref="AF28">
    <cfRule type="cellIs" dxfId="2469" priority="2815" operator="equal">
      <formula>"Extremo"</formula>
    </cfRule>
    <cfRule type="cellIs" dxfId="2468" priority="2816" operator="equal">
      <formula>"Alto"</formula>
    </cfRule>
    <cfRule type="cellIs" dxfId="2467" priority="2817" operator="equal">
      <formula>"Moderado"</formula>
    </cfRule>
    <cfRule type="cellIs" dxfId="2466" priority="2818" operator="equal">
      <formula>"Bajo"</formula>
    </cfRule>
  </conditionalFormatting>
  <conditionalFormatting sqref="AB29">
    <cfRule type="cellIs" dxfId="2465" priority="2810" operator="equal">
      <formula>"Muy Alta"</formula>
    </cfRule>
    <cfRule type="cellIs" dxfId="2464" priority="2811" operator="equal">
      <formula>"Alta"</formula>
    </cfRule>
    <cfRule type="cellIs" dxfId="2463" priority="2812" operator="equal">
      <formula>"Media"</formula>
    </cfRule>
    <cfRule type="cellIs" dxfId="2462" priority="2813" operator="equal">
      <formula>"Baja"</formula>
    </cfRule>
    <cfRule type="cellIs" dxfId="2461" priority="2814" operator="equal">
      <formula>"Muy Baja"</formula>
    </cfRule>
  </conditionalFormatting>
  <conditionalFormatting sqref="AD29">
    <cfRule type="cellIs" dxfId="2460" priority="2805" operator="equal">
      <formula>"Catastrófico"</formula>
    </cfRule>
    <cfRule type="cellIs" dxfId="2459" priority="2806" operator="equal">
      <formula>"Mayor"</formula>
    </cfRule>
    <cfRule type="cellIs" dxfId="2458" priority="2807" operator="equal">
      <formula>"Moderado"</formula>
    </cfRule>
    <cfRule type="cellIs" dxfId="2457" priority="2808" operator="equal">
      <formula>"Menor"</formula>
    </cfRule>
    <cfRule type="cellIs" dxfId="2456" priority="2809" operator="equal">
      <formula>"Leve"</formula>
    </cfRule>
  </conditionalFormatting>
  <conditionalFormatting sqref="AF29">
    <cfRule type="cellIs" dxfId="2455" priority="2801" operator="equal">
      <formula>"Extremo"</formula>
    </cfRule>
    <cfRule type="cellIs" dxfId="2454" priority="2802" operator="equal">
      <formula>"Alto"</formula>
    </cfRule>
    <cfRule type="cellIs" dxfId="2453" priority="2803" operator="equal">
      <formula>"Moderado"</formula>
    </cfRule>
    <cfRule type="cellIs" dxfId="2452" priority="2804" operator="equal">
      <formula>"Bajo"</formula>
    </cfRule>
  </conditionalFormatting>
  <conditionalFormatting sqref="AB30">
    <cfRule type="cellIs" dxfId="2451" priority="2796" operator="equal">
      <formula>"Muy Alta"</formula>
    </cfRule>
    <cfRule type="cellIs" dxfId="2450" priority="2797" operator="equal">
      <formula>"Alta"</formula>
    </cfRule>
    <cfRule type="cellIs" dxfId="2449" priority="2798" operator="equal">
      <formula>"Media"</formula>
    </cfRule>
    <cfRule type="cellIs" dxfId="2448" priority="2799" operator="equal">
      <formula>"Baja"</formula>
    </cfRule>
    <cfRule type="cellIs" dxfId="2447" priority="2800" operator="equal">
      <formula>"Muy Baja"</formula>
    </cfRule>
  </conditionalFormatting>
  <conditionalFormatting sqref="AD30">
    <cfRule type="cellIs" dxfId="2446" priority="2791" operator="equal">
      <formula>"Catastrófico"</formula>
    </cfRule>
    <cfRule type="cellIs" dxfId="2445" priority="2792" operator="equal">
      <formula>"Mayor"</formula>
    </cfRule>
    <cfRule type="cellIs" dxfId="2444" priority="2793" operator="equal">
      <formula>"Moderado"</formula>
    </cfRule>
    <cfRule type="cellIs" dxfId="2443" priority="2794" operator="equal">
      <formula>"Menor"</formula>
    </cfRule>
    <cfRule type="cellIs" dxfId="2442" priority="2795" operator="equal">
      <formula>"Leve"</formula>
    </cfRule>
  </conditionalFormatting>
  <conditionalFormatting sqref="AF30">
    <cfRule type="cellIs" dxfId="2441" priority="2787" operator="equal">
      <formula>"Extremo"</formula>
    </cfRule>
    <cfRule type="cellIs" dxfId="2440" priority="2788" operator="equal">
      <formula>"Alto"</formula>
    </cfRule>
    <cfRule type="cellIs" dxfId="2439" priority="2789" operator="equal">
      <formula>"Moderado"</formula>
    </cfRule>
    <cfRule type="cellIs" dxfId="2438" priority="2790" operator="equal">
      <formula>"Bajo"</formula>
    </cfRule>
  </conditionalFormatting>
  <conditionalFormatting sqref="AB31">
    <cfRule type="cellIs" dxfId="2437" priority="2782" operator="equal">
      <formula>"Muy Alta"</formula>
    </cfRule>
    <cfRule type="cellIs" dxfId="2436" priority="2783" operator="equal">
      <formula>"Alta"</formula>
    </cfRule>
    <cfRule type="cellIs" dxfId="2435" priority="2784" operator="equal">
      <formula>"Media"</formula>
    </cfRule>
    <cfRule type="cellIs" dxfId="2434" priority="2785" operator="equal">
      <formula>"Baja"</formula>
    </cfRule>
    <cfRule type="cellIs" dxfId="2433" priority="2786" operator="equal">
      <formula>"Muy Baja"</formula>
    </cfRule>
  </conditionalFormatting>
  <conditionalFormatting sqref="AD31">
    <cfRule type="cellIs" dxfId="2432" priority="2777" operator="equal">
      <formula>"Catastrófico"</formula>
    </cfRule>
    <cfRule type="cellIs" dxfId="2431" priority="2778" operator="equal">
      <formula>"Mayor"</formula>
    </cfRule>
    <cfRule type="cellIs" dxfId="2430" priority="2779" operator="equal">
      <formula>"Moderado"</formula>
    </cfRule>
    <cfRule type="cellIs" dxfId="2429" priority="2780" operator="equal">
      <formula>"Menor"</formula>
    </cfRule>
    <cfRule type="cellIs" dxfId="2428" priority="2781" operator="equal">
      <formula>"Leve"</formula>
    </cfRule>
  </conditionalFormatting>
  <conditionalFormatting sqref="AF31">
    <cfRule type="cellIs" dxfId="2427" priority="2773" operator="equal">
      <formula>"Extremo"</formula>
    </cfRule>
    <cfRule type="cellIs" dxfId="2426" priority="2774" operator="equal">
      <formula>"Alto"</formula>
    </cfRule>
    <cfRule type="cellIs" dxfId="2425" priority="2775" operator="equal">
      <formula>"Moderado"</formula>
    </cfRule>
    <cfRule type="cellIs" dxfId="2424" priority="2776" operator="equal">
      <formula>"Bajo"</formula>
    </cfRule>
  </conditionalFormatting>
  <conditionalFormatting sqref="AB32">
    <cfRule type="cellIs" dxfId="2423" priority="2768" operator="equal">
      <formula>"Muy Alta"</formula>
    </cfRule>
    <cfRule type="cellIs" dxfId="2422" priority="2769" operator="equal">
      <formula>"Alta"</formula>
    </cfRule>
    <cfRule type="cellIs" dxfId="2421" priority="2770" operator="equal">
      <formula>"Media"</formula>
    </cfRule>
    <cfRule type="cellIs" dxfId="2420" priority="2771" operator="equal">
      <formula>"Baja"</formula>
    </cfRule>
    <cfRule type="cellIs" dxfId="2419" priority="2772" operator="equal">
      <formula>"Muy Baja"</formula>
    </cfRule>
  </conditionalFormatting>
  <conditionalFormatting sqref="AD32">
    <cfRule type="cellIs" dxfId="2418" priority="2763" operator="equal">
      <formula>"Catastrófico"</formula>
    </cfRule>
    <cfRule type="cellIs" dxfId="2417" priority="2764" operator="equal">
      <formula>"Mayor"</formula>
    </cfRule>
    <cfRule type="cellIs" dxfId="2416" priority="2765" operator="equal">
      <formula>"Moderado"</formula>
    </cfRule>
    <cfRule type="cellIs" dxfId="2415" priority="2766" operator="equal">
      <formula>"Menor"</formula>
    </cfRule>
    <cfRule type="cellIs" dxfId="2414" priority="2767" operator="equal">
      <formula>"Leve"</formula>
    </cfRule>
  </conditionalFormatting>
  <conditionalFormatting sqref="AF32">
    <cfRule type="cellIs" dxfId="2413" priority="2759" operator="equal">
      <formula>"Extremo"</formula>
    </cfRule>
    <cfRule type="cellIs" dxfId="2412" priority="2760" operator="equal">
      <formula>"Alto"</formula>
    </cfRule>
    <cfRule type="cellIs" dxfId="2411" priority="2761" operator="equal">
      <formula>"Moderado"</formula>
    </cfRule>
    <cfRule type="cellIs" dxfId="2410" priority="2762" operator="equal">
      <formula>"Bajo"</formula>
    </cfRule>
  </conditionalFormatting>
  <conditionalFormatting sqref="AB33">
    <cfRule type="cellIs" dxfId="2409" priority="2754" operator="equal">
      <formula>"Muy Alta"</formula>
    </cfRule>
    <cfRule type="cellIs" dxfId="2408" priority="2755" operator="equal">
      <formula>"Alta"</formula>
    </cfRule>
    <cfRule type="cellIs" dxfId="2407" priority="2756" operator="equal">
      <formula>"Media"</formula>
    </cfRule>
    <cfRule type="cellIs" dxfId="2406" priority="2757" operator="equal">
      <formula>"Baja"</formula>
    </cfRule>
    <cfRule type="cellIs" dxfId="2405" priority="2758" operator="equal">
      <formula>"Muy Baja"</formula>
    </cfRule>
  </conditionalFormatting>
  <conditionalFormatting sqref="AD33">
    <cfRule type="cellIs" dxfId="2404" priority="2749" operator="equal">
      <formula>"Catastrófico"</formula>
    </cfRule>
    <cfRule type="cellIs" dxfId="2403" priority="2750" operator="equal">
      <formula>"Mayor"</formula>
    </cfRule>
    <cfRule type="cellIs" dxfId="2402" priority="2751" operator="equal">
      <formula>"Moderado"</formula>
    </cfRule>
    <cfRule type="cellIs" dxfId="2401" priority="2752" operator="equal">
      <formula>"Menor"</formula>
    </cfRule>
    <cfRule type="cellIs" dxfId="2400" priority="2753" operator="equal">
      <formula>"Leve"</formula>
    </cfRule>
  </conditionalFormatting>
  <conditionalFormatting sqref="AF33">
    <cfRule type="cellIs" dxfId="2399" priority="2745" operator="equal">
      <formula>"Extremo"</formula>
    </cfRule>
    <cfRule type="cellIs" dxfId="2398" priority="2746" operator="equal">
      <formula>"Alto"</formula>
    </cfRule>
    <cfRule type="cellIs" dxfId="2397" priority="2747" operator="equal">
      <formula>"Moderado"</formula>
    </cfRule>
    <cfRule type="cellIs" dxfId="2396" priority="2748" operator="equal">
      <formula>"Bajo"</formula>
    </cfRule>
  </conditionalFormatting>
  <conditionalFormatting sqref="AB34">
    <cfRule type="cellIs" dxfId="2395" priority="2740" operator="equal">
      <formula>"Muy Alta"</formula>
    </cfRule>
    <cfRule type="cellIs" dxfId="2394" priority="2741" operator="equal">
      <formula>"Alta"</formula>
    </cfRule>
    <cfRule type="cellIs" dxfId="2393" priority="2742" operator="equal">
      <formula>"Media"</formula>
    </cfRule>
    <cfRule type="cellIs" dxfId="2392" priority="2743" operator="equal">
      <formula>"Baja"</formula>
    </cfRule>
    <cfRule type="cellIs" dxfId="2391" priority="2744" operator="equal">
      <formula>"Muy Baja"</formula>
    </cfRule>
  </conditionalFormatting>
  <conditionalFormatting sqref="AD34">
    <cfRule type="cellIs" dxfId="2390" priority="2735" operator="equal">
      <formula>"Catastrófico"</formula>
    </cfRule>
    <cfRule type="cellIs" dxfId="2389" priority="2736" operator="equal">
      <formula>"Mayor"</formula>
    </cfRule>
    <cfRule type="cellIs" dxfId="2388" priority="2737" operator="equal">
      <formula>"Moderado"</formula>
    </cfRule>
    <cfRule type="cellIs" dxfId="2387" priority="2738" operator="equal">
      <formula>"Menor"</formula>
    </cfRule>
    <cfRule type="cellIs" dxfId="2386" priority="2739" operator="equal">
      <formula>"Leve"</formula>
    </cfRule>
  </conditionalFormatting>
  <conditionalFormatting sqref="AF34">
    <cfRule type="cellIs" dxfId="2385" priority="2731" operator="equal">
      <formula>"Extremo"</formula>
    </cfRule>
    <cfRule type="cellIs" dxfId="2384" priority="2732" operator="equal">
      <formula>"Alto"</formula>
    </cfRule>
    <cfRule type="cellIs" dxfId="2383" priority="2733" operator="equal">
      <formula>"Moderado"</formula>
    </cfRule>
    <cfRule type="cellIs" dxfId="2382" priority="2734" operator="equal">
      <formula>"Bajo"</formula>
    </cfRule>
  </conditionalFormatting>
  <conditionalFormatting sqref="AB35">
    <cfRule type="cellIs" dxfId="2381" priority="2726" operator="equal">
      <formula>"Muy Alta"</formula>
    </cfRule>
    <cfRule type="cellIs" dxfId="2380" priority="2727" operator="equal">
      <formula>"Alta"</formula>
    </cfRule>
    <cfRule type="cellIs" dxfId="2379" priority="2728" operator="equal">
      <formula>"Media"</formula>
    </cfRule>
    <cfRule type="cellIs" dxfId="2378" priority="2729" operator="equal">
      <formula>"Baja"</formula>
    </cfRule>
    <cfRule type="cellIs" dxfId="2377" priority="2730" operator="equal">
      <formula>"Muy Baja"</formula>
    </cfRule>
  </conditionalFormatting>
  <conditionalFormatting sqref="AD35">
    <cfRule type="cellIs" dxfId="2376" priority="2721" operator="equal">
      <formula>"Catastrófico"</formula>
    </cfRule>
    <cfRule type="cellIs" dxfId="2375" priority="2722" operator="equal">
      <formula>"Mayor"</formula>
    </cfRule>
    <cfRule type="cellIs" dxfId="2374" priority="2723" operator="equal">
      <formula>"Moderado"</formula>
    </cfRule>
    <cfRule type="cellIs" dxfId="2373" priority="2724" operator="equal">
      <formula>"Menor"</formula>
    </cfRule>
    <cfRule type="cellIs" dxfId="2372" priority="2725" operator="equal">
      <formula>"Leve"</formula>
    </cfRule>
  </conditionalFormatting>
  <conditionalFormatting sqref="AF35">
    <cfRule type="cellIs" dxfId="2371" priority="2717" operator="equal">
      <formula>"Extremo"</formula>
    </cfRule>
    <cfRule type="cellIs" dxfId="2370" priority="2718" operator="equal">
      <formula>"Alto"</formula>
    </cfRule>
    <cfRule type="cellIs" dxfId="2369" priority="2719" operator="equal">
      <formula>"Moderado"</formula>
    </cfRule>
    <cfRule type="cellIs" dxfId="2368" priority="2720" operator="equal">
      <formula>"Bajo"</formula>
    </cfRule>
  </conditionalFormatting>
  <conditionalFormatting sqref="AB36">
    <cfRule type="cellIs" dxfId="2367" priority="2712" operator="equal">
      <formula>"Muy Alta"</formula>
    </cfRule>
    <cfRule type="cellIs" dxfId="2366" priority="2713" operator="equal">
      <formula>"Alta"</formula>
    </cfRule>
    <cfRule type="cellIs" dxfId="2365" priority="2714" operator="equal">
      <formula>"Media"</formula>
    </cfRule>
    <cfRule type="cellIs" dxfId="2364" priority="2715" operator="equal">
      <formula>"Baja"</formula>
    </cfRule>
    <cfRule type="cellIs" dxfId="2363" priority="2716" operator="equal">
      <formula>"Muy Baja"</formula>
    </cfRule>
  </conditionalFormatting>
  <conditionalFormatting sqref="AD36">
    <cfRule type="cellIs" dxfId="2362" priority="2707" operator="equal">
      <formula>"Catastrófico"</formula>
    </cfRule>
    <cfRule type="cellIs" dxfId="2361" priority="2708" operator="equal">
      <formula>"Mayor"</formula>
    </cfRule>
    <cfRule type="cellIs" dxfId="2360" priority="2709" operator="equal">
      <formula>"Moderado"</formula>
    </cfRule>
    <cfRule type="cellIs" dxfId="2359" priority="2710" operator="equal">
      <formula>"Menor"</formula>
    </cfRule>
    <cfRule type="cellIs" dxfId="2358" priority="2711" operator="equal">
      <formula>"Leve"</formula>
    </cfRule>
  </conditionalFormatting>
  <conditionalFormatting sqref="AF36">
    <cfRule type="cellIs" dxfId="2357" priority="2703" operator="equal">
      <formula>"Extremo"</formula>
    </cfRule>
    <cfRule type="cellIs" dxfId="2356" priority="2704" operator="equal">
      <formula>"Alto"</formula>
    </cfRule>
    <cfRule type="cellIs" dxfId="2355" priority="2705" operator="equal">
      <formula>"Moderado"</formula>
    </cfRule>
    <cfRule type="cellIs" dxfId="2354" priority="2706" operator="equal">
      <formula>"Bajo"</formula>
    </cfRule>
  </conditionalFormatting>
  <conditionalFormatting sqref="AB37">
    <cfRule type="cellIs" dxfId="2353" priority="2698" operator="equal">
      <formula>"Muy Alta"</formula>
    </cfRule>
    <cfRule type="cellIs" dxfId="2352" priority="2699" operator="equal">
      <formula>"Alta"</formula>
    </cfRule>
    <cfRule type="cellIs" dxfId="2351" priority="2700" operator="equal">
      <formula>"Media"</formula>
    </cfRule>
    <cfRule type="cellIs" dxfId="2350" priority="2701" operator="equal">
      <formula>"Baja"</formula>
    </cfRule>
    <cfRule type="cellIs" dxfId="2349" priority="2702" operator="equal">
      <formula>"Muy Baja"</formula>
    </cfRule>
  </conditionalFormatting>
  <conditionalFormatting sqref="AD37">
    <cfRule type="cellIs" dxfId="2348" priority="2693" operator="equal">
      <formula>"Catastrófico"</formula>
    </cfRule>
    <cfRule type="cellIs" dxfId="2347" priority="2694" operator="equal">
      <formula>"Mayor"</formula>
    </cfRule>
    <cfRule type="cellIs" dxfId="2346" priority="2695" operator="equal">
      <formula>"Moderado"</formula>
    </cfRule>
    <cfRule type="cellIs" dxfId="2345" priority="2696" operator="equal">
      <formula>"Menor"</formula>
    </cfRule>
    <cfRule type="cellIs" dxfId="2344" priority="2697" operator="equal">
      <formula>"Leve"</formula>
    </cfRule>
  </conditionalFormatting>
  <conditionalFormatting sqref="AF37">
    <cfRule type="cellIs" dxfId="2343" priority="2689" operator="equal">
      <formula>"Extremo"</formula>
    </cfRule>
    <cfRule type="cellIs" dxfId="2342" priority="2690" operator="equal">
      <formula>"Alto"</formula>
    </cfRule>
    <cfRule type="cellIs" dxfId="2341" priority="2691" operator="equal">
      <formula>"Moderado"</formula>
    </cfRule>
    <cfRule type="cellIs" dxfId="2340" priority="2692" operator="equal">
      <formula>"Bajo"</formula>
    </cfRule>
  </conditionalFormatting>
  <conditionalFormatting sqref="AB38">
    <cfRule type="cellIs" dxfId="2339" priority="2684" operator="equal">
      <formula>"Muy Alta"</formula>
    </cfRule>
    <cfRule type="cellIs" dxfId="2338" priority="2685" operator="equal">
      <formula>"Alta"</formula>
    </cfRule>
    <cfRule type="cellIs" dxfId="2337" priority="2686" operator="equal">
      <formula>"Media"</formula>
    </cfRule>
    <cfRule type="cellIs" dxfId="2336" priority="2687" operator="equal">
      <formula>"Baja"</formula>
    </cfRule>
    <cfRule type="cellIs" dxfId="2335" priority="2688" operator="equal">
      <formula>"Muy Baja"</formula>
    </cfRule>
  </conditionalFormatting>
  <conditionalFormatting sqref="AD38">
    <cfRule type="cellIs" dxfId="2334" priority="2679" operator="equal">
      <formula>"Catastrófico"</formula>
    </cfRule>
    <cfRule type="cellIs" dxfId="2333" priority="2680" operator="equal">
      <formula>"Mayor"</formula>
    </cfRule>
    <cfRule type="cellIs" dxfId="2332" priority="2681" operator="equal">
      <formula>"Moderado"</formula>
    </cfRule>
    <cfRule type="cellIs" dxfId="2331" priority="2682" operator="equal">
      <formula>"Menor"</formula>
    </cfRule>
    <cfRule type="cellIs" dxfId="2330" priority="2683" operator="equal">
      <formula>"Leve"</formula>
    </cfRule>
  </conditionalFormatting>
  <conditionalFormatting sqref="AF38">
    <cfRule type="cellIs" dxfId="2329" priority="2675" operator="equal">
      <formula>"Extremo"</formula>
    </cfRule>
    <cfRule type="cellIs" dxfId="2328" priority="2676" operator="equal">
      <formula>"Alto"</formula>
    </cfRule>
    <cfRule type="cellIs" dxfId="2327" priority="2677" operator="equal">
      <formula>"Moderado"</formula>
    </cfRule>
    <cfRule type="cellIs" dxfId="2326" priority="2678" operator="equal">
      <formula>"Bajo"</formula>
    </cfRule>
  </conditionalFormatting>
  <conditionalFormatting sqref="AB39">
    <cfRule type="cellIs" dxfId="2325" priority="2670" operator="equal">
      <formula>"Muy Alta"</formula>
    </cfRule>
    <cfRule type="cellIs" dxfId="2324" priority="2671" operator="equal">
      <formula>"Alta"</formula>
    </cfRule>
    <cfRule type="cellIs" dxfId="2323" priority="2672" operator="equal">
      <formula>"Media"</formula>
    </cfRule>
    <cfRule type="cellIs" dxfId="2322" priority="2673" operator="equal">
      <formula>"Baja"</formula>
    </cfRule>
    <cfRule type="cellIs" dxfId="2321" priority="2674" operator="equal">
      <formula>"Muy Baja"</formula>
    </cfRule>
  </conditionalFormatting>
  <conditionalFormatting sqref="AD39">
    <cfRule type="cellIs" dxfId="2320" priority="2665" operator="equal">
      <formula>"Catastrófico"</formula>
    </cfRule>
    <cfRule type="cellIs" dxfId="2319" priority="2666" operator="equal">
      <formula>"Mayor"</formula>
    </cfRule>
    <cfRule type="cellIs" dxfId="2318" priority="2667" operator="equal">
      <formula>"Moderado"</formula>
    </cfRule>
    <cfRule type="cellIs" dxfId="2317" priority="2668" operator="equal">
      <formula>"Menor"</formula>
    </cfRule>
    <cfRule type="cellIs" dxfId="2316" priority="2669" operator="equal">
      <formula>"Leve"</formula>
    </cfRule>
  </conditionalFormatting>
  <conditionalFormatting sqref="AF39">
    <cfRule type="cellIs" dxfId="2315" priority="2661" operator="equal">
      <formula>"Extremo"</formula>
    </cfRule>
    <cfRule type="cellIs" dxfId="2314" priority="2662" operator="equal">
      <formula>"Alto"</formula>
    </cfRule>
    <cfRule type="cellIs" dxfId="2313" priority="2663" operator="equal">
      <formula>"Moderado"</formula>
    </cfRule>
    <cfRule type="cellIs" dxfId="2312" priority="2664" operator="equal">
      <formula>"Bajo"</formula>
    </cfRule>
  </conditionalFormatting>
  <conditionalFormatting sqref="AB40">
    <cfRule type="cellIs" dxfId="2311" priority="2656" operator="equal">
      <formula>"Muy Alta"</formula>
    </cfRule>
    <cfRule type="cellIs" dxfId="2310" priority="2657" operator="equal">
      <formula>"Alta"</formula>
    </cfRule>
    <cfRule type="cellIs" dxfId="2309" priority="2658" operator="equal">
      <formula>"Media"</formula>
    </cfRule>
    <cfRule type="cellIs" dxfId="2308" priority="2659" operator="equal">
      <formula>"Baja"</formula>
    </cfRule>
    <cfRule type="cellIs" dxfId="2307" priority="2660" operator="equal">
      <formula>"Muy Baja"</formula>
    </cfRule>
  </conditionalFormatting>
  <conditionalFormatting sqref="AD40">
    <cfRule type="cellIs" dxfId="2306" priority="2651" operator="equal">
      <formula>"Catastrófico"</formula>
    </cfRule>
    <cfRule type="cellIs" dxfId="2305" priority="2652" operator="equal">
      <formula>"Mayor"</formula>
    </cfRule>
    <cfRule type="cellIs" dxfId="2304" priority="2653" operator="equal">
      <formula>"Moderado"</formula>
    </cfRule>
    <cfRule type="cellIs" dxfId="2303" priority="2654" operator="equal">
      <formula>"Menor"</formula>
    </cfRule>
    <cfRule type="cellIs" dxfId="2302" priority="2655" operator="equal">
      <formula>"Leve"</formula>
    </cfRule>
  </conditionalFormatting>
  <conditionalFormatting sqref="AF40">
    <cfRule type="cellIs" dxfId="2301" priority="2647" operator="equal">
      <formula>"Extremo"</formula>
    </cfRule>
    <cfRule type="cellIs" dxfId="2300" priority="2648" operator="equal">
      <formula>"Alto"</formula>
    </cfRule>
    <cfRule type="cellIs" dxfId="2299" priority="2649" operator="equal">
      <formula>"Moderado"</formula>
    </cfRule>
    <cfRule type="cellIs" dxfId="2298" priority="2650" operator="equal">
      <formula>"Bajo"</formula>
    </cfRule>
  </conditionalFormatting>
  <conditionalFormatting sqref="AB41">
    <cfRule type="cellIs" dxfId="2297" priority="2642" operator="equal">
      <formula>"Muy Alta"</formula>
    </cfRule>
    <cfRule type="cellIs" dxfId="2296" priority="2643" operator="equal">
      <formula>"Alta"</formula>
    </cfRule>
    <cfRule type="cellIs" dxfId="2295" priority="2644" operator="equal">
      <formula>"Media"</formula>
    </cfRule>
    <cfRule type="cellIs" dxfId="2294" priority="2645" operator="equal">
      <formula>"Baja"</formula>
    </cfRule>
    <cfRule type="cellIs" dxfId="2293" priority="2646" operator="equal">
      <formula>"Muy Baja"</formula>
    </cfRule>
  </conditionalFormatting>
  <conditionalFormatting sqref="AD41">
    <cfRule type="cellIs" dxfId="2292" priority="2637" operator="equal">
      <formula>"Catastrófico"</formula>
    </cfRule>
    <cfRule type="cellIs" dxfId="2291" priority="2638" operator="equal">
      <formula>"Mayor"</formula>
    </cfRule>
    <cfRule type="cellIs" dxfId="2290" priority="2639" operator="equal">
      <formula>"Moderado"</formula>
    </cfRule>
    <cfRule type="cellIs" dxfId="2289" priority="2640" operator="equal">
      <formula>"Menor"</formula>
    </cfRule>
    <cfRule type="cellIs" dxfId="2288" priority="2641" operator="equal">
      <formula>"Leve"</formula>
    </cfRule>
  </conditionalFormatting>
  <conditionalFormatting sqref="AF41">
    <cfRule type="cellIs" dxfId="2287" priority="2633" operator="equal">
      <formula>"Extremo"</formula>
    </cfRule>
    <cfRule type="cellIs" dxfId="2286" priority="2634" operator="equal">
      <formula>"Alto"</formula>
    </cfRule>
    <cfRule type="cellIs" dxfId="2285" priority="2635" operator="equal">
      <formula>"Moderado"</formula>
    </cfRule>
    <cfRule type="cellIs" dxfId="2284" priority="2636" operator="equal">
      <formula>"Bajo"</formula>
    </cfRule>
  </conditionalFormatting>
  <conditionalFormatting sqref="AB42">
    <cfRule type="cellIs" dxfId="2283" priority="2628" operator="equal">
      <formula>"Muy Alta"</formula>
    </cfRule>
    <cfRule type="cellIs" dxfId="2282" priority="2629" operator="equal">
      <formula>"Alta"</formula>
    </cfRule>
    <cfRule type="cellIs" dxfId="2281" priority="2630" operator="equal">
      <formula>"Media"</formula>
    </cfRule>
    <cfRule type="cellIs" dxfId="2280" priority="2631" operator="equal">
      <formula>"Baja"</formula>
    </cfRule>
    <cfRule type="cellIs" dxfId="2279" priority="2632" operator="equal">
      <formula>"Muy Baja"</formula>
    </cfRule>
  </conditionalFormatting>
  <conditionalFormatting sqref="AD42">
    <cfRule type="cellIs" dxfId="2278" priority="2623" operator="equal">
      <formula>"Catastrófico"</formula>
    </cfRule>
    <cfRule type="cellIs" dxfId="2277" priority="2624" operator="equal">
      <formula>"Mayor"</formula>
    </cfRule>
    <cfRule type="cellIs" dxfId="2276" priority="2625" operator="equal">
      <formula>"Moderado"</formula>
    </cfRule>
    <cfRule type="cellIs" dxfId="2275" priority="2626" operator="equal">
      <formula>"Menor"</formula>
    </cfRule>
    <cfRule type="cellIs" dxfId="2274" priority="2627" operator="equal">
      <formula>"Leve"</formula>
    </cfRule>
  </conditionalFormatting>
  <conditionalFormatting sqref="AF42">
    <cfRule type="cellIs" dxfId="2273" priority="2619" operator="equal">
      <formula>"Extremo"</formula>
    </cfRule>
    <cfRule type="cellIs" dxfId="2272" priority="2620" operator="equal">
      <formula>"Alto"</formula>
    </cfRule>
    <cfRule type="cellIs" dxfId="2271" priority="2621" operator="equal">
      <formula>"Moderado"</formula>
    </cfRule>
    <cfRule type="cellIs" dxfId="2270" priority="2622" operator="equal">
      <formula>"Bajo"</formula>
    </cfRule>
  </conditionalFormatting>
  <conditionalFormatting sqref="AB43">
    <cfRule type="cellIs" dxfId="2269" priority="2572" operator="equal">
      <formula>"Muy Alta"</formula>
    </cfRule>
    <cfRule type="cellIs" dxfId="2268" priority="2573" operator="equal">
      <formula>"Alta"</formula>
    </cfRule>
    <cfRule type="cellIs" dxfId="2267" priority="2574" operator="equal">
      <formula>"Media"</formula>
    </cfRule>
    <cfRule type="cellIs" dxfId="2266" priority="2575" operator="equal">
      <formula>"Baja"</formula>
    </cfRule>
    <cfRule type="cellIs" dxfId="2265" priority="2576" operator="equal">
      <formula>"Muy Baja"</formula>
    </cfRule>
  </conditionalFormatting>
  <conditionalFormatting sqref="AD43">
    <cfRule type="cellIs" dxfId="2264" priority="2567" operator="equal">
      <formula>"Catastrófico"</formula>
    </cfRule>
    <cfRule type="cellIs" dxfId="2263" priority="2568" operator="equal">
      <formula>"Mayor"</formula>
    </cfRule>
    <cfRule type="cellIs" dxfId="2262" priority="2569" operator="equal">
      <formula>"Moderado"</formula>
    </cfRule>
    <cfRule type="cellIs" dxfId="2261" priority="2570" operator="equal">
      <formula>"Menor"</formula>
    </cfRule>
    <cfRule type="cellIs" dxfId="2260" priority="2571" operator="equal">
      <formula>"Leve"</formula>
    </cfRule>
  </conditionalFormatting>
  <conditionalFormatting sqref="AF43">
    <cfRule type="cellIs" dxfId="2259" priority="2563" operator="equal">
      <formula>"Extremo"</formula>
    </cfRule>
    <cfRule type="cellIs" dxfId="2258" priority="2564" operator="equal">
      <formula>"Alto"</formula>
    </cfRule>
    <cfRule type="cellIs" dxfId="2257" priority="2565" operator="equal">
      <formula>"Moderado"</formula>
    </cfRule>
    <cfRule type="cellIs" dxfId="2256" priority="2566" operator="equal">
      <formula>"Bajo"</formula>
    </cfRule>
  </conditionalFormatting>
  <conditionalFormatting sqref="AB46">
    <cfRule type="cellIs" dxfId="2255" priority="2558" operator="equal">
      <formula>"Muy Alta"</formula>
    </cfRule>
    <cfRule type="cellIs" dxfId="2254" priority="2559" operator="equal">
      <formula>"Alta"</formula>
    </cfRule>
    <cfRule type="cellIs" dxfId="2253" priority="2560" operator="equal">
      <formula>"Media"</formula>
    </cfRule>
    <cfRule type="cellIs" dxfId="2252" priority="2561" operator="equal">
      <formula>"Baja"</formula>
    </cfRule>
    <cfRule type="cellIs" dxfId="2251" priority="2562" operator="equal">
      <formula>"Muy Baja"</formula>
    </cfRule>
  </conditionalFormatting>
  <conditionalFormatting sqref="AD46">
    <cfRule type="cellIs" dxfId="2250" priority="2553" operator="equal">
      <formula>"Catastrófico"</formula>
    </cfRule>
    <cfRule type="cellIs" dxfId="2249" priority="2554" operator="equal">
      <formula>"Mayor"</formula>
    </cfRule>
    <cfRule type="cellIs" dxfId="2248" priority="2555" operator="equal">
      <formula>"Moderado"</formula>
    </cfRule>
    <cfRule type="cellIs" dxfId="2247" priority="2556" operator="equal">
      <formula>"Menor"</formula>
    </cfRule>
    <cfRule type="cellIs" dxfId="2246" priority="2557" operator="equal">
      <formula>"Leve"</formula>
    </cfRule>
  </conditionalFormatting>
  <conditionalFormatting sqref="AF46">
    <cfRule type="cellIs" dxfId="2245" priority="2549" operator="equal">
      <formula>"Extremo"</formula>
    </cfRule>
    <cfRule type="cellIs" dxfId="2244" priority="2550" operator="equal">
      <formula>"Alto"</formula>
    </cfRule>
    <cfRule type="cellIs" dxfId="2243" priority="2551" operator="equal">
      <formula>"Moderado"</formula>
    </cfRule>
    <cfRule type="cellIs" dxfId="2242" priority="2552" operator="equal">
      <formula>"Bajo"</formula>
    </cfRule>
  </conditionalFormatting>
  <conditionalFormatting sqref="AB44">
    <cfRule type="cellIs" dxfId="2241" priority="2544" operator="equal">
      <formula>"Muy Alta"</formula>
    </cfRule>
    <cfRule type="cellIs" dxfId="2240" priority="2545" operator="equal">
      <formula>"Alta"</formula>
    </cfRule>
    <cfRule type="cellIs" dxfId="2239" priority="2546" operator="equal">
      <formula>"Media"</formula>
    </cfRule>
    <cfRule type="cellIs" dxfId="2238" priority="2547" operator="equal">
      <formula>"Baja"</formula>
    </cfRule>
    <cfRule type="cellIs" dxfId="2237" priority="2548" operator="equal">
      <formula>"Muy Baja"</formula>
    </cfRule>
  </conditionalFormatting>
  <conditionalFormatting sqref="AD44">
    <cfRule type="cellIs" dxfId="2236" priority="2539" operator="equal">
      <formula>"Catastrófico"</formula>
    </cfRule>
    <cfRule type="cellIs" dxfId="2235" priority="2540" operator="equal">
      <formula>"Mayor"</formula>
    </cfRule>
    <cfRule type="cellIs" dxfId="2234" priority="2541" operator="equal">
      <formula>"Moderado"</formula>
    </cfRule>
    <cfRule type="cellIs" dxfId="2233" priority="2542" operator="equal">
      <formula>"Menor"</formula>
    </cfRule>
    <cfRule type="cellIs" dxfId="2232" priority="2543" operator="equal">
      <formula>"Leve"</formula>
    </cfRule>
  </conditionalFormatting>
  <conditionalFormatting sqref="AF44">
    <cfRule type="cellIs" dxfId="2231" priority="2535" operator="equal">
      <formula>"Extremo"</formula>
    </cfRule>
    <cfRule type="cellIs" dxfId="2230" priority="2536" operator="equal">
      <formula>"Alto"</formula>
    </cfRule>
    <cfRule type="cellIs" dxfId="2229" priority="2537" operator="equal">
      <formula>"Moderado"</formula>
    </cfRule>
    <cfRule type="cellIs" dxfId="2228" priority="2538" operator="equal">
      <formula>"Bajo"</formula>
    </cfRule>
  </conditionalFormatting>
  <conditionalFormatting sqref="AB45">
    <cfRule type="cellIs" dxfId="2227" priority="2530" operator="equal">
      <formula>"Muy Alta"</formula>
    </cfRule>
    <cfRule type="cellIs" dxfId="2226" priority="2531" operator="equal">
      <formula>"Alta"</formula>
    </cfRule>
    <cfRule type="cellIs" dxfId="2225" priority="2532" operator="equal">
      <formula>"Media"</formula>
    </cfRule>
    <cfRule type="cellIs" dxfId="2224" priority="2533" operator="equal">
      <formula>"Baja"</formula>
    </cfRule>
    <cfRule type="cellIs" dxfId="2223" priority="2534" operator="equal">
      <formula>"Muy Baja"</formula>
    </cfRule>
  </conditionalFormatting>
  <conditionalFormatting sqref="AD45">
    <cfRule type="cellIs" dxfId="2222" priority="2525" operator="equal">
      <formula>"Catastrófico"</formula>
    </cfRule>
    <cfRule type="cellIs" dxfId="2221" priority="2526" operator="equal">
      <formula>"Mayor"</formula>
    </cfRule>
    <cfRule type="cellIs" dxfId="2220" priority="2527" operator="equal">
      <formula>"Moderado"</formula>
    </cfRule>
    <cfRule type="cellIs" dxfId="2219" priority="2528" operator="equal">
      <formula>"Menor"</formula>
    </cfRule>
    <cfRule type="cellIs" dxfId="2218" priority="2529" operator="equal">
      <formula>"Leve"</formula>
    </cfRule>
  </conditionalFormatting>
  <conditionalFormatting sqref="AF45">
    <cfRule type="cellIs" dxfId="2217" priority="2521" operator="equal">
      <formula>"Extremo"</formula>
    </cfRule>
    <cfRule type="cellIs" dxfId="2216" priority="2522" operator="equal">
      <formula>"Alto"</formula>
    </cfRule>
    <cfRule type="cellIs" dxfId="2215" priority="2523" operator="equal">
      <formula>"Moderado"</formula>
    </cfRule>
    <cfRule type="cellIs" dxfId="2214" priority="2524" operator="equal">
      <formula>"Bajo"</formula>
    </cfRule>
  </conditionalFormatting>
  <conditionalFormatting sqref="AB47">
    <cfRule type="cellIs" dxfId="2213" priority="2516" operator="equal">
      <formula>"Muy Alta"</formula>
    </cfRule>
    <cfRule type="cellIs" dxfId="2212" priority="2517" operator="equal">
      <formula>"Alta"</formula>
    </cfRule>
    <cfRule type="cellIs" dxfId="2211" priority="2518" operator="equal">
      <formula>"Media"</formula>
    </cfRule>
    <cfRule type="cellIs" dxfId="2210" priority="2519" operator="equal">
      <formula>"Baja"</formula>
    </cfRule>
    <cfRule type="cellIs" dxfId="2209" priority="2520" operator="equal">
      <formula>"Muy Baja"</formula>
    </cfRule>
  </conditionalFormatting>
  <conditionalFormatting sqref="AD47">
    <cfRule type="cellIs" dxfId="2208" priority="2511" operator="equal">
      <formula>"Catastrófico"</formula>
    </cfRule>
    <cfRule type="cellIs" dxfId="2207" priority="2512" operator="equal">
      <formula>"Mayor"</formula>
    </cfRule>
    <cfRule type="cellIs" dxfId="2206" priority="2513" operator="equal">
      <formula>"Moderado"</formula>
    </cfRule>
    <cfRule type="cellIs" dxfId="2205" priority="2514" operator="equal">
      <formula>"Menor"</formula>
    </cfRule>
    <cfRule type="cellIs" dxfId="2204" priority="2515" operator="equal">
      <formula>"Leve"</formula>
    </cfRule>
  </conditionalFormatting>
  <conditionalFormatting sqref="AF47">
    <cfRule type="cellIs" dxfId="2203" priority="2507" operator="equal">
      <formula>"Extremo"</formula>
    </cfRule>
    <cfRule type="cellIs" dxfId="2202" priority="2508" operator="equal">
      <formula>"Alto"</formula>
    </cfRule>
    <cfRule type="cellIs" dxfId="2201" priority="2509" operator="equal">
      <formula>"Moderado"</formula>
    </cfRule>
    <cfRule type="cellIs" dxfId="2200" priority="2510" operator="equal">
      <formula>"Bajo"</formula>
    </cfRule>
  </conditionalFormatting>
  <conditionalFormatting sqref="AB48">
    <cfRule type="cellIs" dxfId="2199" priority="2502" operator="equal">
      <formula>"Muy Alta"</formula>
    </cfRule>
    <cfRule type="cellIs" dxfId="2198" priority="2503" operator="equal">
      <formula>"Alta"</formula>
    </cfRule>
    <cfRule type="cellIs" dxfId="2197" priority="2504" operator="equal">
      <formula>"Media"</formula>
    </cfRule>
    <cfRule type="cellIs" dxfId="2196" priority="2505" operator="equal">
      <formula>"Baja"</formula>
    </cfRule>
    <cfRule type="cellIs" dxfId="2195" priority="2506" operator="equal">
      <formula>"Muy Baja"</formula>
    </cfRule>
  </conditionalFormatting>
  <conditionalFormatting sqref="AD48">
    <cfRule type="cellIs" dxfId="2194" priority="2497" operator="equal">
      <formula>"Catastrófico"</formula>
    </cfRule>
    <cfRule type="cellIs" dxfId="2193" priority="2498" operator="equal">
      <formula>"Mayor"</formula>
    </cfRule>
    <cfRule type="cellIs" dxfId="2192" priority="2499" operator="equal">
      <formula>"Moderado"</formula>
    </cfRule>
    <cfRule type="cellIs" dxfId="2191" priority="2500" operator="equal">
      <formula>"Menor"</formula>
    </cfRule>
    <cfRule type="cellIs" dxfId="2190" priority="2501" operator="equal">
      <formula>"Leve"</formula>
    </cfRule>
  </conditionalFormatting>
  <conditionalFormatting sqref="AF48">
    <cfRule type="cellIs" dxfId="2189" priority="2493" operator="equal">
      <formula>"Extremo"</formula>
    </cfRule>
    <cfRule type="cellIs" dxfId="2188" priority="2494" operator="equal">
      <formula>"Alto"</formula>
    </cfRule>
    <cfRule type="cellIs" dxfId="2187" priority="2495" operator="equal">
      <formula>"Moderado"</formula>
    </cfRule>
    <cfRule type="cellIs" dxfId="2186" priority="2496" operator="equal">
      <formula>"Bajo"</formula>
    </cfRule>
  </conditionalFormatting>
  <conditionalFormatting sqref="AB50">
    <cfRule type="cellIs" dxfId="2185" priority="2488" operator="equal">
      <formula>"Muy Alta"</formula>
    </cfRule>
    <cfRule type="cellIs" dxfId="2184" priority="2489" operator="equal">
      <formula>"Alta"</formula>
    </cfRule>
    <cfRule type="cellIs" dxfId="2183" priority="2490" operator="equal">
      <formula>"Media"</formula>
    </cfRule>
    <cfRule type="cellIs" dxfId="2182" priority="2491" operator="equal">
      <formula>"Baja"</formula>
    </cfRule>
    <cfRule type="cellIs" dxfId="2181" priority="2492" operator="equal">
      <formula>"Muy Baja"</formula>
    </cfRule>
  </conditionalFormatting>
  <conditionalFormatting sqref="AD50">
    <cfRule type="cellIs" dxfId="2180" priority="2483" operator="equal">
      <formula>"Catastrófico"</formula>
    </cfRule>
    <cfRule type="cellIs" dxfId="2179" priority="2484" operator="equal">
      <formula>"Mayor"</formula>
    </cfRule>
    <cfRule type="cellIs" dxfId="2178" priority="2485" operator="equal">
      <formula>"Moderado"</formula>
    </cfRule>
    <cfRule type="cellIs" dxfId="2177" priority="2486" operator="equal">
      <formula>"Menor"</formula>
    </cfRule>
    <cfRule type="cellIs" dxfId="2176" priority="2487" operator="equal">
      <formula>"Leve"</formula>
    </cfRule>
  </conditionalFormatting>
  <conditionalFormatting sqref="AB52">
    <cfRule type="cellIs" dxfId="2175" priority="2474" operator="equal">
      <formula>"Muy Alta"</formula>
    </cfRule>
    <cfRule type="cellIs" dxfId="2174" priority="2475" operator="equal">
      <formula>"Alta"</formula>
    </cfRule>
    <cfRule type="cellIs" dxfId="2173" priority="2476" operator="equal">
      <formula>"Media"</formula>
    </cfRule>
    <cfRule type="cellIs" dxfId="2172" priority="2477" operator="equal">
      <formula>"Baja"</formula>
    </cfRule>
    <cfRule type="cellIs" dxfId="2171" priority="2478" operator="equal">
      <formula>"Muy Baja"</formula>
    </cfRule>
  </conditionalFormatting>
  <conditionalFormatting sqref="AB51">
    <cfRule type="cellIs" dxfId="2170" priority="2460" operator="equal">
      <formula>"Muy Alta"</formula>
    </cfRule>
    <cfRule type="cellIs" dxfId="2169" priority="2461" operator="equal">
      <formula>"Alta"</formula>
    </cfRule>
    <cfRule type="cellIs" dxfId="2168" priority="2462" operator="equal">
      <formula>"Media"</formula>
    </cfRule>
    <cfRule type="cellIs" dxfId="2167" priority="2463" operator="equal">
      <formula>"Baja"</formula>
    </cfRule>
    <cfRule type="cellIs" dxfId="2166" priority="2464" operator="equal">
      <formula>"Muy Baja"</formula>
    </cfRule>
  </conditionalFormatting>
  <conditionalFormatting sqref="AD51">
    <cfRule type="cellIs" dxfId="2165" priority="2455" operator="equal">
      <formula>"Catastrófico"</formula>
    </cfRule>
    <cfRule type="cellIs" dxfId="2164" priority="2456" operator="equal">
      <formula>"Mayor"</formula>
    </cfRule>
    <cfRule type="cellIs" dxfId="2163" priority="2457" operator="equal">
      <formula>"Moderado"</formula>
    </cfRule>
    <cfRule type="cellIs" dxfId="2162" priority="2458" operator="equal">
      <formula>"Menor"</formula>
    </cfRule>
    <cfRule type="cellIs" dxfId="2161" priority="2459" operator="equal">
      <formula>"Leve"</formula>
    </cfRule>
  </conditionalFormatting>
  <conditionalFormatting sqref="AF51">
    <cfRule type="cellIs" dxfId="2160" priority="2451" operator="equal">
      <formula>"Extremo"</formula>
    </cfRule>
    <cfRule type="cellIs" dxfId="2159" priority="2452" operator="equal">
      <formula>"Alto"</formula>
    </cfRule>
    <cfRule type="cellIs" dxfId="2158" priority="2453" operator="equal">
      <formula>"Moderado"</formula>
    </cfRule>
    <cfRule type="cellIs" dxfId="2157" priority="2454" operator="equal">
      <formula>"Bajo"</formula>
    </cfRule>
  </conditionalFormatting>
  <conditionalFormatting sqref="AB53">
    <cfRule type="cellIs" dxfId="2156" priority="2446" operator="equal">
      <formula>"Muy Alta"</formula>
    </cfRule>
    <cfRule type="cellIs" dxfId="2155" priority="2447" operator="equal">
      <formula>"Alta"</formula>
    </cfRule>
    <cfRule type="cellIs" dxfId="2154" priority="2448" operator="equal">
      <formula>"Media"</formula>
    </cfRule>
    <cfRule type="cellIs" dxfId="2153" priority="2449" operator="equal">
      <formula>"Baja"</formula>
    </cfRule>
    <cfRule type="cellIs" dxfId="2152" priority="2450" operator="equal">
      <formula>"Muy Baja"</formula>
    </cfRule>
  </conditionalFormatting>
  <conditionalFormatting sqref="AD53">
    <cfRule type="cellIs" dxfId="2151" priority="2441" operator="equal">
      <formula>"Catastrófico"</formula>
    </cfRule>
    <cfRule type="cellIs" dxfId="2150" priority="2442" operator="equal">
      <formula>"Mayor"</formula>
    </cfRule>
    <cfRule type="cellIs" dxfId="2149" priority="2443" operator="equal">
      <formula>"Moderado"</formula>
    </cfRule>
    <cfRule type="cellIs" dxfId="2148" priority="2444" operator="equal">
      <formula>"Menor"</formula>
    </cfRule>
    <cfRule type="cellIs" dxfId="2147" priority="2445" operator="equal">
      <formula>"Leve"</formula>
    </cfRule>
  </conditionalFormatting>
  <conditionalFormatting sqref="AF53">
    <cfRule type="cellIs" dxfId="2146" priority="2437" operator="equal">
      <formula>"Extremo"</formula>
    </cfRule>
    <cfRule type="cellIs" dxfId="2145" priority="2438" operator="equal">
      <formula>"Alto"</formula>
    </cfRule>
    <cfRule type="cellIs" dxfId="2144" priority="2439" operator="equal">
      <formula>"Moderado"</formula>
    </cfRule>
    <cfRule type="cellIs" dxfId="2143" priority="2440" operator="equal">
      <formula>"Bajo"</formula>
    </cfRule>
  </conditionalFormatting>
  <conditionalFormatting sqref="AB54">
    <cfRule type="cellIs" dxfId="2142" priority="2432" operator="equal">
      <formula>"Muy Alta"</formula>
    </cfRule>
    <cfRule type="cellIs" dxfId="2141" priority="2433" operator="equal">
      <formula>"Alta"</formula>
    </cfRule>
    <cfRule type="cellIs" dxfId="2140" priority="2434" operator="equal">
      <formula>"Media"</formula>
    </cfRule>
    <cfRule type="cellIs" dxfId="2139" priority="2435" operator="equal">
      <formula>"Baja"</formula>
    </cfRule>
    <cfRule type="cellIs" dxfId="2138" priority="2436" operator="equal">
      <formula>"Muy Baja"</formula>
    </cfRule>
  </conditionalFormatting>
  <conditionalFormatting sqref="AD54">
    <cfRule type="cellIs" dxfId="2137" priority="2427" operator="equal">
      <formula>"Catastrófico"</formula>
    </cfRule>
    <cfRule type="cellIs" dxfId="2136" priority="2428" operator="equal">
      <formula>"Mayor"</formula>
    </cfRule>
    <cfRule type="cellIs" dxfId="2135" priority="2429" operator="equal">
      <formula>"Moderado"</formula>
    </cfRule>
    <cfRule type="cellIs" dxfId="2134" priority="2430" operator="equal">
      <formula>"Menor"</formula>
    </cfRule>
    <cfRule type="cellIs" dxfId="2133" priority="2431" operator="equal">
      <formula>"Leve"</formula>
    </cfRule>
  </conditionalFormatting>
  <conditionalFormatting sqref="AF54">
    <cfRule type="cellIs" dxfId="2132" priority="2423" operator="equal">
      <formula>"Extremo"</formula>
    </cfRule>
    <cfRule type="cellIs" dxfId="2131" priority="2424" operator="equal">
      <formula>"Alto"</formula>
    </cfRule>
    <cfRule type="cellIs" dxfId="2130" priority="2425" operator="equal">
      <formula>"Moderado"</formula>
    </cfRule>
    <cfRule type="cellIs" dxfId="2129" priority="2426" operator="equal">
      <formula>"Bajo"</formula>
    </cfRule>
  </conditionalFormatting>
  <conditionalFormatting sqref="AB56">
    <cfRule type="cellIs" dxfId="2128" priority="2418" operator="equal">
      <formula>"Muy Alta"</formula>
    </cfRule>
    <cfRule type="cellIs" dxfId="2127" priority="2419" operator="equal">
      <formula>"Alta"</formula>
    </cfRule>
    <cfRule type="cellIs" dxfId="2126" priority="2420" operator="equal">
      <formula>"Media"</formula>
    </cfRule>
    <cfRule type="cellIs" dxfId="2125" priority="2421" operator="equal">
      <formula>"Baja"</formula>
    </cfRule>
    <cfRule type="cellIs" dxfId="2124" priority="2422" operator="equal">
      <formula>"Muy Baja"</formula>
    </cfRule>
  </conditionalFormatting>
  <conditionalFormatting sqref="AD56">
    <cfRule type="cellIs" dxfId="2123" priority="2413" operator="equal">
      <formula>"Catastrófico"</formula>
    </cfRule>
    <cfRule type="cellIs" dxfId="2122" priority="2414" operator="equal">
      <formula>"Mayor"</formula>
    </cfRule>
    <cfRule type="cellIs" dxfId="2121" priority="2415" operator="equal">
      <formula>"Moderado"</formula>
    </cfRule>
    <cfRule type="cellIs" dxfId="2120" priority="2416" operator="equal">
      <formula>"Menor"</formula>
    </cfRule>
    <cfRule type="cellIs" dxfId="2119" priority="2417" operator="equal">
      <formula>"Leve"</formula>
    </cfRule>
  </conditionalFormatting>
  <conditionalFormatting sqref="AF56">
    <cfRule type="cellIs" dxfId="2118" priority="2409" operator="equal">
      <formula>"Extremo"</formula>
    </cfRule>
    <cfRule type="cellIs" dxfId="2117" priority="2410" operator="equal">
      <formula>"Alto"</formula>
    </cfRule>
    <cfRule type="cellIs" dxfId="2116" priority="2411" operator="equal">
      <formula>"Moderado"</formula>
    </cfRule>
    <cfRule type="cellIs" dxfId="2115" priority="2412" operator="equal">
      <formula>"Bajo"</formula>
    </cfRule>
  </conditionalFormatting>
  <conditionalFormatting sqref="AB57">
    <cfRule type="cellIs" dxfId="2114" priority="2404" operator="equal">
      <formula>"Muy Alta"</formula>
    </cfRule>
    <cfRule type="cellIs" dxfId="2113" priority="2405" operator="equal">
      <formula>"Alta"</formula>
    </cfRule>
    <cfRule type="cellIs" dxfId="2112" priority="2406" operator="equal">
      <formula>"Media"</formula>
    </cfRule>
    <cfRule type="cellIs" dxfId="2111" priority="2407" operator="equal">
      <formula>"Baja"</formula>
    </cfRule>
    <cfRule type="cellIs" dxfId="2110" priority="2408" operator="equal">
      <formula>"Muy Baja"</formula>
    </cfRule>
  </conditionalFormatting>
  <conditionalFormatting sqref="AD57">
    <cfRule type="cellIs" dxfId="2109" priority="2399" operator="equal">
      <formula>"Catastrófico"</formula>
    </cfRule>
    <cfRule type="cellIs" dxfId="2108" priority="2400" operator="equal">
      <formula>"Mayor"</formula>
    </cfRule>
    <cfRule type="cellIs" dxfId="2107" priority="2401" operator="equal">
      <formula>"Moderado"</formula>
    </cfRule>
    <cfRule type="cellIs" dxfId="2106" priority="2402" operator="equal">
      <formula>"Menor"</formula>
    </cfRule>
    <cfRule type="cellIs" dxfId="2105" priority="2403" operator="equal">
      <formula>"Leve"</formula>
    </cfRule>
  </conditionalFormatting>
  <conditionalFormatting sqref="AF57">
    <cfRule type="cellIs" dxfId="2104" priority="2395" operator="equal">
      <formula>"Extremo"</formula>
    </cfRule>
    <cfRule type="cellIs" dxfId="2103" priority="2396" operator="equal">
      <formula>"Alto"</formula>
    </cfRule>
    <cfRule type="cellIs" dxfId="2102" priority="2397" operator="equal">
      <formula>"Moderado"</formula>
    </cfRule>
    <cfRule type="cellIs" dxfId="2101" priority="2398" operator="equal">
      <formula>"Bajo"</formula>
    </cfRule>
  </conditionalFormatting>
  <conditionalFormatting sqref="AB59">
    <cfRule type="cellIs" dxfId="2100" priority="2390" operator="equal">
      <formula>"Muy Alta"</formula>
    </cfRule>
    <cfRule type="cellIs" dxfId="2099" priority="2391" operator="equal">
      <formula>"Alta"</formula>
    </cfRule>
    <cfRule type="cellIs" dxfId="2098" priority="2392" operator="equal">
      <formula>"Media"</formula>
    </cfRule>
    <cfRule type="cellIs" dxfId="2097" priority="2393" operator="equal">
      <formula>"Baja"</formula>
    </cfRule>
    <cfRule type="cellIs" dxfId="2096" priority="2394" operator="equal">
      <formula>"Muy Baja"</formula>
    </cfRule>
  </conditionalFormatting>
  <conditionalFormatting sqref="AD59">
    <cfRule type="cellIs" dxfId="2095" priority="2385" operator="equal">
      <formula>"Catastrófico"</formula>
    </cfRule>
    <cfRule type="cellIs" dxfId="2094" priority="2386" operator="equal">
      <formula>"Mayor"</formula>
    </cfRule>
    <cfRule type="cellIs" dxfId="2093" priority="2387" operator="equal">
      <formula>"Moderado"</formula>
    </cfRule>
    <cfRule type="cellIs" dxfId="2092" priority="2388" operator="equal">
      <formula>"Menor"</formula>
    </cfRule>
    <cfRule type="cellIs" dxfId="2091" priority="2389" operator="equal">
      <formula>"Leve"</formula>
    </cfRule>
  </conditionalFormatting>
  <conditionalFormatting sqref="AF59">
    <cfRule type="cellIs" dxfId="2090" priority="2381" operator="equal">
      <formula>"Extremo"</formula>
    </cfRule>
    <cfRule type="cellIs" dxfId="2089" priority="2382" operator="equal">
      <formula>"Alto"</formula>
    </cfRule>
    <cfRule type="cellIs" dxfId="2088" priority="2383" operator="equal">
      <formula>"Moderado"</formula>
    </cfRule>
    <cfRule type="cellIs" dxfId="2087" priority="2384" operator="equal">
      <formula>"Bajo"</formula>
    </cfRule>
  </conditionalFormatting>
  <conditionalFormatting sqref="AB60">
    <cfRule type="cellIs" dxfId="2086" priority="2376" operator="equal">
      <formula>"Muy Alta"</formula>
    </cfRule>
    <cfRule type="cellIs" dxfId="2085" priority="2377" operator="equal">
      <formula>"Alta"</formula>
    </cfRule>
    <cfRule type="cellIs" dxfId="2084" priority="2378" operator="equal">
      <formula>"Media"</formula>
    </cfRule>
    <cfRule type="cellIs" dxfId="2083" priority="2379" operator="equal">
      <formula>"Baja"</formula>
    </cfRule>
    <cfRule type="cellIs" dxfId="2082" priority="2380" operator="equal">
      <formula>"Muy Baja"</formula>
    </cfRule>
  </conditionalFormatting>
  <conditionalFormatting sqref="AD60">
    <cfRule type="cellIs" dxfId="2081" priority="2371" operator="equal">
      <formula>"Catastrófico"</formula>
    </cfRule>
    <cfRule type="cellIs" dxfId="2080" priority="2372" operator="equal">
      <formula>"Mayor"</formula>
    </cfRule>
    <cfRule type="cellIs" dxfId="2079" priority="2373" operator="equal">
      <formula>"Moderado"</formula>
    </cfRule>
    <cfRule type="cellIs" dxfId="2078" priority="2374" operator="equal">
      <formula>"Menor"</formula>
    </cfRule>
    <cfRule type="cellIs" dxfId="2077" priority="2375" operator="equal">
      <formula>"Leve"</formula>
    </cfRule>
  </conditionalFormatting>
  <conditionalFormatting sqref="AF60">
    <cfRule type="cellIs" dxfId="2076" priority="2367" operator="equal">
      <formula>"Extremo"</formula>
    </cfRule>
    <cfRule type="cellIs" dxfId="2075" priority="2368" operator="equal">
      <formula>"Alto"</formula>
    </cfRule>
    <cfRule type="cellIs" dxfId="2074" priority="2369" operator="equal">
      <formula>"Moderado"</formula>
    </cfRule>
    <cfRule type="cellIs" dxfId="2073" priority="2370" operator="equal">
      <formula>"Bajo"</formula>
    </cfRule>
  </conditionalFormatting>
  <conditionalFormatting sqref="AB62">
    <cfRule type="cellIs" dxfId="2072" priority="2362" operator="equal">
      <formula>"Muy Alta"</formula>
    </cfRule>
    <cfRule type="cellIs" dxfId="2071" priority="2363" operator="equal">
      <formula>"Alta"</formula>
    </cfRule>
    <cfRule type="cellIs" dxfId="2070" priority="2364" operator="equal">
      <formula>"Media"</formula>
    </cfRule>
    <cfRule type="cellIs" dxfId="2069" priority="2365" operator="equal">
      <formula>"Baja"</formula>
    </cfRule>
    <cfRule type="cellIs" dxfId="2068" priority="2366" operator="equal">
      <formula>"Muy Baja"</formula>
    </cfRule>
  </conditionalFormatting>
  <conditionalFormatting sqref="AD62">
    <cfRule type="cellIs" dxfId="2067" priority="2357" operator="equal">
      <formula>"Catastrófico"</formula>
    </cfRule>
    <cfRule type="cellIs" dxfId="2066" priority="2358" operator="equal">
      <formula>"Mayor"</formula>
    </cfRule>
    <cfRule type="cellIs" dxfId="2065" priority="2359" operator="equal">
      <formula>"Moderado"</formula>
    </cfRule>
    <cfRule type="cellIs" dxfId="2064" priority="2360" operator="equal">
      <formula>"Menor"</formula>
    </cfRule>
    <cfRule type="cellIs" dxfId="2063" priority="2361" operator="equal">
      <formula>"Leve"</formula>
    </cfRule>
  </conditionalFormatting>
  <conditionalFormatting sqref="AF62">
    <cfRule type="cellIs" dxfId="2062" priority="2353" operator="equal">
      <formula>"Extremo"</formula>
    </cfRule>
    <cfRule type="cellIs" dxfId="2061" priority="2354" operator="equal">
      <formula>"Alto"</formula>
    </cfRule>
    <cfRule type="cellIs" dxfId="2060" priority="2355" operator="equal">
      <formula>"Moderado"</formula>
    </cfRule>
    <cfRule type="cellIs" dxfId="2059" priority="2356" operator="equal">
      <formula>"Bajo"</formula>
    </cfRule>
  </conditionalFormatting>
  <conditionalFormatting sqref="AB63">
    <cfRule type="cellIs" dxfId="2058" priority="2348" operator="equal">
      <formula>"Muy Alta"</formula>
    </cfRule>
    <cfRule type="cellIs" dxfId="2057" priority="2349" operator="equal">
      <formula>"Alta"</formula>
    </cfRule>
    <cfRule type="cellIs" dxfId="2056" priority="2350" operator="equal">
      <formula>"Media"</formula>
    </cfRule>
    <cfRule type="cellIs" dxfId="2055" priority="2351" operator="equal">
      <formula>"Baja"</formula>
    </cfRule>
    <cfRule type="cellIs" dxfId="2054" priority="2352" operator="equal">
      <formula>"Muy Baja"</formula>
    </cfRule>
  </conditionalFormatting>
  <conditionalFormatting sqref="AD63">
    <cfRule type="cellIs" dxfId="2053" priority="2343" operator="equal">
      <formula>"Catastrófico"</formula>
    </cfRule>
    <cfRule type="cellIs" dxfId="2052" priority="2344" operator="equal">
      <formula>"Mayor"</formula>
    </cfRule>
    <cfRule type="cellIs" dxfId="2051" priority="2345" operator="equal">
      <formula>"Moderado"</formula>
    </cfRule>
    <cfRule type="cellIs" dxfId="2050" priority="2346" operator="equal">
      <formula>"Menor"</formula>
    </cfRule>
    <cfRule type="cellIs" dxfId="2049" priority="2347" operator="equal">
      <formula>"Leve"</formula>
    </cfRule>
  </conditionalFormatting>
  <conditionalFormatting sqref="AF63">
    <cfRule type="cellIs" dxfId="2048" priority="2339" operator="equal">
      <formula>"Extremo"</formula>
    </cfRule>
    <cfRule type="cellIs" dxfId="2047" priority="2340" operator="equal">
      <formula>"Alto"</formula>
    </cfRule>
    <cfRule type="cellIs" dxfId="2046" priority="2341" operator="equal">
      <formula>"Moderado"</formula>
    </cfRule>
    <cfRule type="cellIs" dxfId="2045" priority="2342" operator="equal">
      <formula>"Bajo"</formula>
    </cfRule>
  </conditionalFormatting>
  <conditionalFormatting sqref="AB65">
    <cfRule type="cellIs" dxfId="2044" priority="2334" operator="equal">
      <formula>"Muy Alta"</formula>
    </cfRule>
    <cfRule type="cellIs" dxfId="2043" priority="2335" operator="equal">
      <formula>"Alta"</formula>
    </cfRule>
    <cfRule type="cellIs" dxfId="2042" priority="2336" operator="equal">
      <formula>"Media"</formula>
    </cfRule>
    <cfRule type="cellIs" dxfId="2041" priority="2337" operator="equal">
      <formula>"Baja"</formula>
    </cfRule>
    <cfRule type="cellIs" dxfId="2040" priority="2338" operator="equal">
      <formula>"Muy Baja"</formula>
    </cfRule>
  </conditionalFormatting>
  <conditionalFormatting sqref="AD65">
    <cfRule type="cellIs" dxfId="2039" priority="2329" operator="equal">
      <formula>"Catastrófico"</formula>
    </cfRule>
    <cfRule type="cellIs" dxfId="2038" priority="2330" operator="equal">
      <formula>"Mayor"</formula>
    </cfRule>
    <cfRule type="cellIs" dxfId="2037" priority="2331" operator="equal">
      <formula>"Moderado"</formula>
    </cfRule>
    <cfRule type="cellIs" dxfId="2036" priority="2332" operator="equal">
      <formula>"Menor"</formula>
    </cfRule>
    <cfRule type="cellIs" dxfId="2035" priority="2333" operator="equal">
      <formula>"Leve"</formula>
    </cfRule>
  </conditionalFormatting>
  <conditionalFormatting sqref="AF65">
    <cfRule type="cellIs" dxfId="2034" priority="2325" operator="equal">
      <formula>"Extremo"</formula>
    </cfRule>
    <cfRule type="cellIs" dxfId="2033" priority="2326" operator="equal">
      <formula>"Alto"</formula>
    </cfRule>
    <cfRule type="cellIs" dxfId="2032" priority="2327" operator="equal">
      <formula>"Moderado"</formula>
    </cfRule>
    <cfRule type="cellIs" dxfId="2031" priority="2328" operator="equal">
      <formula>"Bajo"</formula>
    </cfRule>
  </conditionalFormatting>
  <conditionalFormatting sqref="AB66">
    <cfRule type="cellIs" dxfId="2030" priority="2320" operator="equal">
      <formula>"Muy Alta"</formula>
    </cfRule>
    <cfRule type="cellIs" dxfId="2029" priority="2321" operator="equal">
      <formula>"Alta"</formula>
    </cfRule>
    <cfRule type="cellIs" dxfId="2028" priority="2322" operator="equal">
      <formula>"Media"</formula>
    </cfRule>
    <cfRule type="cellIs" dxfId="2027" priority="2323" operator="equal">
      <formula>"Baja"</formula>
    </cfRule>
    <cfRule type="cellIs" dxfId="2026" priority="2324" operator="equal">
      <formula>"Muy Baja"</formula>
    </cfRule>
  </conditionalFormatting>
  <conditionalFormatting sqref="AD66">
    <cfRule type="cellIs" dxfId="2025" priority="2315" operator="equal">
      <formula>"Catastrófico"</formula>
    </cfRule>
    <cfRule type="cellIs" dxfId="2024" priority="2316" operator="equal">
      <formula>"Mayor"</formula>
    </cfRule>
    <cfRule type="cellIs" dxfId="2023" priority="2317" operator="equal">
      <formula>"Moderado"</formula>
    </cfRule>
    <cfRule type="cellIs" dxfId="2022" priority="2318" operator="equal">
      <formula>"Menor"</formula>
    </cfRule>
    <cfRule type="cellIs" dxfId="2021" priority="2319" operator="equal">
      <formula>"Leve"</formula>
    </cfRule>
  </conditionalFormatting>
  <conditionalFormatting sqref="AF66">
    <cfRule type="cellIs" dxfId="2020" priority="2311" operator="equal">
      <formula>"Extremo"</formula>
    </cfRule>
    <cfRule type="cellIs" dxfId="2019" priority="2312" operator="equal">
      <formula>"Alto"</formula>
    </cfRule>
    <cfRule type="cellIs" dxfId="2018" priority="2313" operator="equal">
      <formula>"Moderado"</formula>
    </cfRule>
    <cfRule type="cellIs" dxfId="2017" priority="2314" operator="equal">
      <formula>"Bajo"</formula>
    </cfRule>
  </conditionalFormatting>
  <conditionalFormatting sqref="AB68">
    <cfRule type="cellIs" dxfId="2016" priority="2306" operator="equal">
      <formula>"Muy Alta"</formula>
    </cfRule>
    <cfRule type="cellIs" dxfId="2015" priority="2307" operator="equal">
      <formula>"Alta"</formula>
    </cfRule>
    <cfRule type="cellIs" dxfId="2014" priority="2308" operator="equal">
      <formula>"Media"</formula>
    </cfRule>
    <cfRule type="cellIs" dxfId="2013" priority="2309" operator="equal">
      <formula>"Baja"</formula>
    </cfRule>
    <cfRule type="cellIs" dxfId="2012" priority="2310" operator="equal">
      <formula>"Muy Baja"</formula>
    </cfRule>
  </conditionalFormatting>
  <conditionalFormatting sqref="AD68">
    <cfRule type="cellIs" dxfId="2011" priority="2301" operator="equal">
      <formula>"Catastrófico"</formula>
    </cfRule>
    <cfRule type="cellIs" dxfId="2010" priority="2302" operator="equal">
      <formula>"Mayor"</formula>
    </cfRule>
    <cfRule type="cellIs" dxfId="2009" priority="2303" operator="equal">
      <formula>"Moderado"</formula>
    </cfRule>
    <cfRule type="cellIs" dxfId="2008" priority="2304" operator="equal">
      <formula>"Menor"</formula>
    </cfRule>
    <cfRule type="cellIs" dxfId="2007" priority="2305" operator="equal">
      <formula>"Leve"</formula>
    </cfRule>
  </conditionalFormatting>
  <conditionalFormatting sqref="AF68">
    <cfRule type="cellIs" dxfId="2006" priority="2297" operator="equal">
      <formula>"Extremo"</formula>
    </cfRule>
    <cfRule type="cellIs" dxfId="2005" priority="2298" operator="equal">
      <formula>"Alto"</formula>
    </cfRule>
    <cfRule type="cellIs" dxfId="2004" priority="2299" operator="equal">
      <formula>"Moderado"</formula>
    </cfRule>
    <cfRule type="cellIs" dxfId="2003" priority="2300" operator="equal">
      <formula>"Bajo"</formula>
    </cfRule>
  </conditionalFormatting>
  <conditionalFormatting sqref="AB69">
    <cfRule type="cellIs" dxfId="2002" priority="2292" operator="equal">
      <formula>"Muy Alta"</formula>
    </cfRule>
    <cfRule type="cellIs" dxfId="2001" priority="2293" operator="equal">
      <formula>"Alta"</formula>
    </cfRule>
    <cfRule type="cellIs" dxfId="2000" priority="2294" operator="equal">
      <formula>"Media"</formula>
    </cfRule>
    <cfRule type="cellIs" dxfId="1999" priority="2295" operator="equal">
      <formula>"Baja"</formula>
    </cfRule>
    <cfRule type="cellIs" dxfId="1998" priority="2296" operator="equal">
      <formula>"Muy Baja"</formula>
    </cfRule>
  </conditionalFormatting>
  <conditionalFormatting sqref="AD69">
    <cfRule type="cellIs" dxfId="1997" priority="2287" operator="equal">
      <formula>"Catastrófico"</formula>
    </cfRule>
    <cfRule type="cellIs" dxfId="1996" priority="2288" operator="equal">
      <formula>"Mayor"</formula>
    </cfRule>
    <cfRule type="cellIs" dxfId="1995" priority="2289" operator="equal">
      <formula>"Moderado"</formula>
    </cfRule>
    <cfRule type="cellIs" dxfId="1994" priority="2290" operator="equal">
      <formula>"Menor"</formula>
    </cfRule>
    <cfRule type="cellIs" dxfId="1993" priority="2291" operator="equal">
      <formula>"Leve"</formula>
    </cfRule>
  </conditionalFormatting>
  <conditionalFormatting sqref="AF69">
    <cfRule type="cellIs" dxfId="1992" priority="2283" operator="equal">
      <formula>"Extremo"</formula>
    </cfRule>
    <cfRule type="cellIs" dxfId="1991" priority="2284" operator="equal">
      <formula>"Alto"</formula>
    </cfRule>
    <cfRule type="cellIs" dxfId="1990" priority="2285" operator="equal">
      <formula>"Moderado"</formula>
    </cfRule>
    <cfRule type="cellIs" dxfId="1989" priority="2286" operator="equal">
      <formula>"Bajo"</formula>
    </cfRule>
  </conditionalFormatting>
  <conditionalFormatting sqref="AB73">
    <cfRule type="cellIs" dxfId="1988" priority="2278" operator="equal">
      <formula>"Muy Alta"</formula>
    </cfRule>
    <cfRule type="cellIs" dxfId="1987" priority="2279" operator="equal">
      <formula>"Alta"</formula>
    </cfRule>
    <cfRule type="cellIs" dxfId="1986" priority="2280" operator="equal">
      <formula>"Media"</formula>
    </cfRule>
    <cfRule type="cellIs" dxfId="1985" priority="2281" operator="equal">
      <formula>"Baja"</formula>
    </cfRule>
    <cfRule type="cellIs" dxfId="1984" priority="2282" operator="equal">
      <formula>"Muy Baja"</formula>
    </cfRule>
  </conditionalFormatting>
  <conditionalFormatting sqref="AD73">
    <cfRule type="cellIs" dxfId="1983" priority="2273" operator="equal">
      <formula>"Catastrófico"</formula>
    </cfRule>
    <cfRule type="cellIs" dxfId="1982" priority="2274" operator="equal">
      <formula>"Mayor"</formula>
    </cfRule>
    <cfRule type="cellIs" dxfId="1981" priority="2275" operator="equal">
      <formula>"Moderado"</formula>
    </cfRule>
    <cfRule type="cellIs" dxfId="1980" priority="2276" operator="equal">
      <formula>"Menor"</formula>
    </cfRule>
    <cfRule type="cellIs" dxfId="1979" priority="2277" operator="equal">
      <formula>"Leve"</formula>
    </cfRule>
  </conditionalFormatting>
  <conditionalFormatting sqref="AF73">
    <cfRule type="cellIs" dxfId="1978" priority="2269" operator="equal">
      <formula>"Extremo"</formula>
    </cfRule>
    <cfRule type="cellIs" dxfId="1977" priority="2270" operator="equal">
      <formula>"Alto"</formula>
    </cfRule>
    <cfRule type="cellIs" dxfId="1976" priority="2271" operator="equal">
      <formula>"Moderado"</formula>
    </cfRule>
    <cfRule type="cellIs" dxfId="1975" priority="2272" operator="equal">
      <formula>"Bajo"</formula>
    </cfRule>
  </conditionalFormatting>
  <conditionalFormatting sqref="AB74">
    <cfRule type="cellIs" dxfId="1974" priority="2264" operator="equal">
      <formula>"Muy Alta"</formula>
    </cfRule>
    <cfRule type="cellIs" dxfId="1973" priority="2265" operator="equal">
      <formula>"Alta"</formula>
    </cfRule>
    <cfRule type="cellIs" dxfId="1972" priority="2266" operator="equal">
      <formula>"Media"</formula>
    </cfRule>
    <cfRule type="cellIs" dxfId="1971" priority="2267" operator="equal">
      <formula>"Baja"</formula>
    </cfRule>
    <cfRule type="cellIs" dxfId="1970" priority="2268" operator="equal">
      <formula>"Muy Baja"</formula>
    </cfRule>
  </conditionalFormatting>
  <conditionalFormatting sqref="AD74">
    <cfRule type="cellIs" dxfId="1969" priority="2259" operator="equal">
      <formula>"Catastrófico"</formula>
    </cfRule>
    <cfRule type="cellIs" dxfId="1968" priority="2260" operator="equal">
      <formula>"Mayor"</formula>
    </cfRule>
    <cfRule type="cellIs" dxfId="1967" priority="2261" operator="equal">
      <formula>"Moderado"</formula>
    </cfRule>
    <cfRule type="cellIs" dxfId="1966" priority="2262" operator="equal">
      <formula>"Menor"</formula>
    </cfRule>
    <cfRule type="cellIs" dxfId="1965" priority="2263" operator="equal">
      <formula>"Leve"</formula>
    </cfRule>
  </conditionalFormatting>
  <conditionalFormatting sqref="AF74">
    <cfRule type="cellIs" dxfId="1964" priority="2255" operator="equal">
      <formula>"Extremo"</formula>
    </cfRule>
    <cfRule type="cellIs" dxfId="1963" priority="2256" operator="equal">
      <formula>"Alto"</formula>
    </cfRule>
    <cfRule type="cellIs" dxfId="1962" priority="2257" operator="equal">
      <formula>"Moderado"</formula>
    </cfRule>
    <cfRule type="cellIs" dxfId="1961" priority="2258" operator="equal">
      <formula>"Bajo"</formula>
    </cfRule>
  </conditionalFormatting>
  <conditionalFormatting sqref="AB75">
    <cfRule type="cellIs" dxfId="1960" priority="2250" operator="equal">
      <formula>"Muy Alta"</formula>
    </cfRule>
    <cfRule type="cellIs" dxfId="1959" priority="2251" operator="equal">
      <formula>"Alta"</formula>
    </cfRule>
    <cfRule type="cellIs" dxfId="1958" priority="2252" operator="equal">
      <formula>"Media"</formula>
    </cfRule>
    <cfRule type="cellIs" dxfId="1957" priority="2253" operator="equal">
      <formula>"Baja"</formula>
    </cfRule>
    <cfRule type="cellIs" dxfId="1956" priority="2254" operator="equal">
      <formula>"Muy Baja"</formula>
    </cfRule>
  </conditionalFormatting>
  <conditionalFormatting sqref="AD75">
    <cfRule type="cellIs" dxfId="1955" priority="2245" operator="equal">
      <formula>"Catastrófico"</formula>
    </cfRule>
    <cfRule type="cellIs" dxfId="1954" priority="2246" operator="equal">
      <formula>"Mayor"</formula>
    </cfRule>
    <cfRule type="cellIs" dxfId="1953" priority="2247" operator="equal">
      <formula>"Moderado"</formula>
    </cfRule>
    <cfRule type="cellIs" dxfId="1952" priority="2248" operator="equal">
      <formula>"Menor"</formula>
    </cfRule>
    <cfRule type="cellIs" dxfId="1951" priority="2249" operator="equal">
      <formula>"Leve"</formula>
    </cfRule>
  </conditionalFormatting>
  <conditionalFormatting sqref="AF75">
    <cfRule type="cellIs" dxfId="1950" priority="2241" operator="equal">
      <formula>"Extremo"</formula>
    </cfRule>
    <cfRule type="cellIs" dxfId="1949" priority="2242" operator="equal">
      <formula>"Alto"</formula>
    </cfRule>
    <cfRule type="cellIs" dxfId="1948" priority="2243" operator="equal">
      <formula>"Moderado"</formula>
    </cfRule>
    <cfRule type="cellIs" dxfId="1947" priority="2244" operator="equal">
      <formula>"Bajo"</formula>
    </cfRule>
  </conditionalFormatting>
  <conditionalFormatting sqref="AB77">
    <cfRule type="cellIs" dxfId="1946" priority="2236" operator="equal">
      <formula>"Muy Alta"</formula>
    </cfRule>
    <cfRule type="cellIs" dxfId="1945" priority="2237" operator="equal">
      <formula>"Alta"</formula>
    </cfRule>
    <cfRule type="cellIs" dxfId="1944" priority="2238" operator="equal">
      <formula>"Media"</formula>
    </cfRule>
    <cfRule type="cellIs" dxfId="1943" priority="2239" operator="equal">
      <formula>"Baja"</formula>
    </cfRule>
    <cfRule type="cellIs" dxfId="1942" priority="2240" operator="equal">
      <formula>"Muy Baja"</formula>
    </cfRule>
  </conditionalFormatting>
  <conditionalFormatting sqref="AD77">
    <cfRule type="cellIs" dxfId="1941" priority="2231" operator="equal">
      <formula>"Catastrófico"</formula>
    </cfRule>
    <cfRule type="cellIs" dxfId="1940" priority="2232" operator="equal">
      <formula>"Mayor"</formula>
    </cfRule>
    <cfRule type="cellIs" dxfId="1939" priority="2233" operator="equal">
      <formula>"Moderado"</formula>
    </cfRule>
    <cfRule type="cellIs" dxfId="1938" priority="2234" operator="equal">
      <formula>"Menor"</formula>
    </cfRule>
    <cfRule type="cellIs" dxfId="1937" priority="2235" operator="equal">
      <formula>"Leve"</formula>
    </cfRule>
  </conditionalFormatting>
  <conditionalFormatting sqref="AF77">
    <cfRule type="cellIs" dxfId="1936" priority="2227" operator="equal">
      <formula>"Extremo"</formula>
    </cfRule>
    <cfRule type="cellIs" dxfId="1935" priority="2228" operator="equal">
      <formula>"Alto"</formula>
    </cfRule>
    <cfRule type="cellIs" dxfId="1934" priority="2229" operator="equal">
      <formula>"Moderado"</formula>
    </cfRule>
    <cfRule type="cellIs" dxfId="1933" priority="2230" operator="equal">
      <formula>"Bajo"</formula>
    </cfRule>
  </conditionalFormatting>
  <conditionalFormatting sqref="AB76">
    <cfRule type="cellIs" dxfId="1932" priority="2222" operator="equal">
      <formula>"Muy Alta"</formula>
    </cfRule>
    <cfRule type="cellIs" dxfId="1931" priority="2223" operator="equal">
      <formula>"Alta"</formula>
    </cfRule>
    <cfRule type="cellIs" dxfId="1930" priority="2224" operator="equal">
      <formula>"Media"</formula>
    </cfRule>
    <cfRule type="cellIs" dxfId="1929" priority="2225" operator="equal">
      <formula>"Baja"</formula>
    </cfRule>
    <cfRule type="cellIs" dxfId="1928" priority="2226" operator="equal">
      <formula>"Muy Baja"</formula>
    </cfRule>
  </conditionalFormatting>
  <conditionalFormatting sqref="AD76">
    <cfRule type="cellIs" dxfId="1927" priority="2217" operator="equal">
      <formula>"Catastrófico"</formula>
    </cfRule>
    <cfRule type="cellIs" dxfId="1926" priority="2218" operator="equal">
      <formula>"Mayor"</formula>
    </cfRule>
    <cfRule type="cellIs" dxfId="1925" priority="2219" operator="equal">
      <formula>"Moderado"</formula>
    </cfRule>
    <cfRule type="cellIs" dxfId="1924" priority="2220" operator="equal">
      <formula>"Menor"</formula>
    </cfRule>
    <cfRule type="cellIs" dxfId="1923" priority="2221" operator="equal">
      <formula>"Leve"</formula>
    </cfRule>
  </conditionalFormatting>
  <conditionalFormatting sqref="AF76">
    <cfRule type="cellIs" dxfId="1922" priority="2213" operator="equal">
      <formula>"Extremo"</formula>
    </cfRule>
    <cfRule type="cellIs" dxfId="1921" priority="2214" operator="equal">
      <formula>"Alto"</formula>
    </cfRule>
    <cfRule type="cellIs" dxfId="1920" priority="2215" operator="equal">
      <formula>"Moderado"</formula>
    </cfRule>
    <cfRule type="cellIs" dxfId="1919" priority="2216" operator="equal">
      <formula>"Bajo"</formula>
    </cfRule>
  </conditionalFormatting>
  <conditionalFormatting sqref="AB78">
    <cfRule type="cellIs" dxfId="1918" priority="2208" operator="equal">
      <formula>"Muy Alta"</formula>
    </cfRule>
    <cfRule type="cellIs" dxfId="1917" priority="2209" operator="equal">
      <formula>"Alta"</formula>
    </cfRule>
    <cfRule type="cellIs" dxfId="1916" priority="2210" operator="equal">
      <formula>"Media"</formula>
    </cfRule>
    <cfRule type="cellIs" dxfId="1915" priority="2211" operator="equal">
      <formula>"Baja"</formula>
    </cfRule>
    <cfRule type="cellIs" dxfId="1914" priority="2212" operator="equal">
      <formula>"Muy Baja"</formula>
    </cfRule>
  </conditionalFormatting>
  <conditionalFormatting sqref="AD78">
    <cfRule type="cellIs" dxfId="1913" priority="2203" operator="equal">
      <formula>"Catastrófico"</formula>
    </cfRule>
    <cfRule type="cellIs" dxfId="1912" priority="2204" operator="equal">
      <formula>"Mayor"</formula>
    </cfRule>
    <cfRule type="cellIs" dxfId="1911" priority="2205" operator="equal">
      <formula>"Moderado"</formula>
    </cfRule>
    <cfRule type="cellIs" dxfId="1910" priority="2206" operator="equal">
      <formula>"Menor"</formula>
    </cfRule>
    <cfRule type="cellIs" dxfId="1909" priority="2207" operator="equal">
      <formula>"Leve"</formula>
    </cfRule>
  </conditionalFormatting>
  <conditionalFormatting sqref="AF78">
    <cfRule type="cellIs" dxfId="1908" priority="2199" operator="equal">
      <formula>"Extremo"</formula>
    </cfRule>
    <cfRule type="cellIs" dxfId="1907" priority="2200" operator="equal">
      <formula>"Alto"</formula>
    </cfRule>
    <cfRule type="cellIs" dxfId="1906" priority="2201" operator="equal">
      <formula>"Moderado"</formula>
    </cfRule>
    <cfRule type="cellIs" dxfId="1905" priority="2202" operator="equal">
      <formula>"Bajo"</formula>
    </cfRule>
  </conditionalFormatting>
  <conditionalFormatting sqref="AB80">
    <cfRule type="cellIs" dxfId="1904" priority="2194" operator="equal">
      <formula>"Muy Alta"</formula>
    </cfRule>
    <cfRule type="cellIs" dxfId="1903" priority="2195" operator="equal">
      <formula>"Alta"</formula>
    </cfRule>
    <cfRule type="cellIs" dxfId="1902" priority="2196" operator="equal">
      <formula>"Media"</formula>
    </cfRule>
    <cfRule type="cellIs" dxfId="1901" priority="2197" operator="equal">
      <formula>"Baja"</formula>
    </cfRule>
    <cfRule type="cellIs" dxfId="1900" priority="2198" operator="equal">
      <formula>"Muy Baja"</formula>
    </cfRule>
  </conditionalFormatting>
  <conditionalFormatting sqref="AD80">
    <cfRule type="cellIs" dxfId="1899" priority="2189" operator="equal">
      <formula>"Catastrófico"</formula>
    </cfRule>
    <cfRule type="cellIs" dxfId="1898" priority="2190" operator="equal">
      <formula>"Mayor"</formula>
    </cfRule>
    <cfRule type="cellIs" dxfId="1897" priority="2191" operator="equal">
      <formula>"Moderado"</formula>
    </cfRule>
    <cfRule type="cellIs" dxfId="1896" priority="2192" operator="equal">
      <formula>"Menor"</formula>
    </cfRule>
    <cfRule type="cellIs" dxfId="1895" priority="2193" operator="equal">
      <formula>"Leve"</formula>
    </cfRule>
  </conditionalFormatting>
  <conditionalFormatting sqref="AF80">
    <cfRule type="cellIs" dxfId="1894" priority="2185" operator="equal">
      <formula>"Extremo"</formula>
    </cfRule>
    <cfRule type="cellIs" dxfId="1893" priority="2186" operator="equal">
      <formula>"Alto"</formula>
    </cfRule>
    <cfRule type="cellIs" dxfId="1892" priority="2187" operator="equal">
      <formula>"Moderado"</formula>
    </cfRule>
    <cfRule type="cellIs" dxfId="1891" priority="2188" operator="equal">
      <formula>"Bajo"</formula>
    </cfRule>
  </conditionalFormatting>
  <conditionalFormatting sqref="AB81">
    <cfRule type="cellIs" dxfId="1890" priority="2180" operator="equal">
      <formula>"Muy Alta"</formula>
    </cfRule>
    <cfRule type="cellIs" dxfId="1889" priority="2181" operator="equal">
      <formula>"Alta"</formula>
    </cfRule>
    <cfRule type="cellIs" dxfId="1888" priority="2182" operator="equal">
      <formula>"Media"</formula>
    </cfRule>
    <cfRule type="cellIs" dxfId="1887" priority="2183" operator="equal">
      <formula>"Baja"</formula>
    </cfRule>
    <cfRule type="cellIs" dxfId="1886" priority="2184" operator="equal">
      <formula>"Muy Baja"</formula>
    </cfRule>
  </conditionalFormatting>
  <conditionalFormatting sqref="AD81">
    <cfRule type="cellIs" dxfId="1885" priority="2175" operator="equal">
      <formula>"Catastrófico"</formula>
    </cfRule>
    <cfRule type="cellIs" dxfId="1884" priority="2176" operator="equal">
      <formula>"Mayor"</formula>
    </cfRule>
    <cfRule type="cellIs" dxfId="1883" priority="2177" operator="equal">
      <formula>"Moderado"</formula>
    </cfRule>
    <cfRule type="cellIs" dxfId="1882" priority="2178" operator="equal">
      <formula>"Menor"</formula>
    </cfRule>
    <cfRule type="cellIs" dxfId="1881" priority="2179" operator="equal">
      <formula>"Leve"</formula>
    </cfRule>
  </conditionalFormatting>
  <conditionalFormatting sqref="AF81">
    <cfRule type="cellIs" dxfId="1880" priority="2171" operator="equal">
      <formula>"Extremo"</formula>
    </cfRule>
    <cfRule type="cellIs" dxfId="1879" priority="2172" operator="equal">
      <formula>"Alto"</formula>
    </cfRule>
    <cfRule type="cellIs" dxfId="1878" priority="2173" operator="equal">
      <formula>"Moderado"</formula>
    </cfRule>
    <cfRule type="cellIs" dxfId="1877" priority="2174" operator="equal">
      <formula>"Bajo"</formula>
    </cfRule>
  </conditionalFormatting>
  <conditionalFormatting sqref="AB83">
    <cfRule type="cellIs" dxfId="1876" priority="2166" operator="equal">
      <formula>"Muy Alta"</formula>
    </cfRule>
    <cfRule type="cellIs" dxfId="1875" priority="2167" operator="equal">
      <formula>"Alta"</formula>
    </cfRule>
    <cfRule type="cellIs" dxfId="1874" priority="2168" operator="equal">
      <formula>"Media"</formula>
    </cfRule>
    <cfRule type="cellIs" dxfId="1873" priority="2169" operator="equal">
      <formula>"Baja"</formula>
    </cfRule>
    <cfRule type="cellIs" dxfId="1872" priority="2170" operator="equal">
      <formula>"Muy Baja"</formula>
    </cfRule>
  </conditionalFormatting>
  <conditionalFormatting sqref="AD83">
    <cfRule type="cellIs" dxfId="1871" priority="2161" operator="equal">
      <formula>"Catastrófico"</formula>
    </cfRule>
    <cfRule type="cellIs" dxfId="1870" priority="2162" operator="equal">
      <formula>"Mayor"</formula>
    </cfRule>
    <cfRule type="cellIs" dxfId="1869" priority="2163" operator="equal">
      <formula>"Moderado"</formula>
    </cfRule>
    <cfRule type="cellIs" dxfId="1868" priority="2164" operator="equal">
      <formula>"Menor"</formula>
    </cfRule>
    <cfRule type="cellIs" dxfId="1867" priority="2165" operator="equal">
      <formula>"Leve"</formula>
    </cfRule>
  </conditionalFormatting>
  <conditionalFormatting sqref="AF83">
    <cfRule type="cellIs" dxfId="1866" priority="2157" operator="equal">
      <formula>"Extremo"</formula>
    </cfRule>
    <cfRule type="cellIs" dxfId="1865" priority="2158" operator="equal">
      <formula>"Alto"</formula>
    </cfRule>
    <cfRule type="cellIs" dxfId="1864" priority="2159" operator="equal">
      <formula>"Moderado"</formula>
    </cfRule>
    <cfRule type="cellIs" dxfId="1863" priority="2160" operator="equal">
      <formula>"Bajo"</formula>
    </cfRule>
  </conditionalFormatting>
  <conditionalFormatting sqref="AB84">
    <cfRule type="cellIs" dxfId="1862" priority="2152" operator="equal">
      <formula>"Muy Alta"</formula>
    </cfRule>
    <cfRule type="cellIs" dxfId="1861" priority="2153" operator="equal">
      <formula>"Alta"</formula>
    </cfRule>
    <cfRule type="cellIs" dxfId="1860" priority="2154" operator="equal">
      <formula>"Media"</formula>
    </cfRule>
    <cfRule type="cellIs" dxfId="1859" priority="2155" operator="equal">
      <formula>"Baja"</formula>
    </cfRule>
    <cfRule type="cellIs" dxfId="1858" priority="2156" operator="equal">
      <formula>"Muy Baja"</formula>
    </cfRule>
  </conditionalFormatting>
  <conditionalFormatting sqref="AD84">
    <cfRule type="cellIs" dxfId="1857" priority="2147" operator="equal">
      <formula>"Catastrófico"</formula>
    </cfRule>
    <cfRule type="cellIs" dxfId="1856" priority="2148" operator="equal">
      <formula>"Mayor"</formula>
    </cfRule>
    <cfRule type="cellIs" dxfId="1855" priority="2149" operator="equal">
      <formula>"Moderado"</formula>
    </cfRule>
    <cfRule type="cellIs" dxfId="1854" priority="2150" operator="equal">
      <formula>"Menor"</formula>
    </cfRule>
    <cfRule type="cellIs" dxfId="1853" priority="2151" operator="equal">
      <formula>"Leve"</formula>
    </cfRule>
  </conditionalFormatting>
  <conditionalFormatting sqref="AF84">
    <cfRule type="cellIs" dxfId="1852" priority="2143" operator="equal">
      <formula>"Extremo"</formula>
    </cfRule>
    <cfRule type="cellIs" dxfId="1851" priority="2144" operator="equal">
      <formula>"Alto"</formula>
    </cfRule>
    <cfRule type="cellIs" dxfId="1850" priority="2145" operator="equal">
      <formula>"Moderado"</formula>
    </cfRule>
    <cfRule type="cellIs" dxfId="1849" priority="2146" operator="equal">
      <formula>"Bajo"</formula>
    </cfRule>
  </conditionalFormatting>
  <conditionalFormatting sqref="AB89">
    <cfRule type="cellIs" dxfId="1848" priority="2138" operator="equal">
      <formula>"Muy Alta"</formula>
    </cfRule>
    <cfRule type="cellIs" dxfId="1847" priority="2139" operator="equal">
      <formula>"Alta"</formula>
    </cfRule>
    <cfRule type="cellIs" dxfId="1846" priority="2140" operator="equal">
      <formula>"Media"</formula>
    </cfRule>
    <cfRule type="cellIs" dxfId="1845" priority="2141" operator="equal">
      <formula>"Baja"</formula>
    </cfRule>
    <cfRule type="cellIs" dxfId="1844" priority="2142" operator="equal">
      <formula>"Muy Baja"</formula>
    </cfRule>
  </conditionalFormatting>
  <conditionalFormatting sqref="AD89">
    <cfRule type="cellIs" dxfId="1843" priority="2133" operator="equal">
      <formula>"Catastrófico"</formula>
    </cfRule>
    <cfRule type="cellIs" dxfId="1842" priority="2134" operator="equal">
      <formula>"Mayor"</formula>
    </cfRule>
    <cfRule type="cellIs" dxfId="1841" priority="2135" operator="equal">
      <formula>"Moderado"</formula>
    </cfRule>
    <cfRule type="cellIs" dxfId="1840" priority="2136" operator="equal">
      <formula>"Menor"</formula>
    </cfRule>
    <cfRule type="cellIs" dxfId="1839" priority="2137" operator="equal">
      <formula>"Leve"</formula>
    </cfRule>
  </conditionalFormatting>
  <conditionalFormatting sqref="AF89">
    <cfRule type="cellIs" dxfId="1838" priority="2129" operator="equal">
      <formula>"Extremo"</formula>
    </cfRule>
    <cfRule type="cellIs" dxfId="1837" priority="2130" operator="equal">
      <formula>"Alto"</formula>
    </cfRule>
    <cfRule type="cellIs" dxfId="1836" priority="2131" operator="equal">
      <formula>"Moderado"</formula>
    </cfRule>
    <cfRule type="cellIs" dxfId="1835" priority="2132" operator="equal">
      <formula>"Bajo"</formula>
    </cfRule>
  </conditionalFormatting>
  <conditionalFormatting sqref="AB90">
    <cfRule type="cellIs" dxfId="1834" priority="2124" operator="equal">
      <formula>"Muy Alta"</formula>
    </cfRule>
    <cfRule type="cellIs" dxfId="1833" priority="2125" operator="equal">
      <formula>"Alta"</formula>
    </cfRule>
    <cfRule type="cellIs" dxfId="1832" priority="2126" operator="equal">
      <formula>"Media"</formula>
    </cfRule>
    <cfRule type="cellIs" dxfId="1831" priority="2127" operator="equal">
      <formula>"Baja"</formula>
    </cfRule>
    <cfRule type="cellIs" dxfId="1830" priority="2128" operator="equal">
      <formula>"Muy Baja"</formula>
    </cfRule>
  </conditionalFormatting>
  <conditionalFormatting sqref="AD90">
    <cfRule type="cellIs" dxfId="1829" priority="2119" operator="equal">
      <formula>"Catastrófico"</formula>
    </cfRule>
    <cfRule type="cellIs" dxfId="1828" priority="2120" operator="equal">
      <formula>"Mayor"</formula>
    </cfRule>
    <cfRule type="cellIs" dxfId="1827" priority="2121" operator="equal">
      <formula>"Moderado"</formula>
    </cfRule>
    <cfRule type="cellIs" dxfId="1826" priority="2122" operator="equal">
      <formula>"Menor"</formula>
    </cfRule>
    <cfRule type="cellIs" dxfId="1825" priority="2123" operator="equal">
      <formula>"Leve"</formula>
    </cfRule>
  </conditionalFormatting>
  <conditionalFormatting sqref="AF90">
    <cfRule type="cellIs" dxfId="1824" priority="2115" operator="equal">
      <formula>"Extremo"</formula>
    </cfRule>
    <cfRule type="cellIs" dxfId="1823" priority="2116" operator="equal">
      <formula>"Alto"</formula>
    </cfRule>
    <cfRule type="cellIs" dxfId="1822" priority="2117" operator="equal">
      <formula>"Moderado"</formula>
    </cfRule>
    <cfRule type="cellIs" dxfId="1821" priority="2118" operator="equal">
      <formula>"Bajo"</formula>
    </cfRule>
  </conditionalFormatting>
  <conditionalFormatting sqref="AB92">
    <cfRule type="cellIs" dxfId="1820" priority="2110" operator="equal">
      <formula>"Muy Alta"</formula>
    </cfRule>
    <cfRule type="cellIs" dxfId="1819" priority="2111" operator="equal">
      <formula>"Alta"</formula>
    </cfRule>
    <cfRule type="cellIs" dxfId="1818" priority="2112" operator="equal">
      <formula>"Media"</formula>
    </cfRule>
    <cfRule type="cellIs" dxfId="1817" priority="2113" operator="equal">
      <formula>"Baja"</formula>
    </cfRule>
    <cfRule type="cellIs" dxfId="1816" priority="2114" operator="equal">
      <formula>"Muy Baja"</formula>
    </cfRule>
  </conditionalFormatting>
  <conditionalFormatting sqref="AD92">
    <cfRule type="cellIs" dxfId="1815" priority="2105" operator="equal">
      <formula>"Catastrófico"</formula>
    </cfRule>
    <cfRule type="cellIs" dxfId="1814" priority="2106" operator="equal">
      <formula>"Mayor"</formula>
    </cfRule>
    <cfRule type="cellIs" dxfId="1813" priority="2107" operator="equal">
      <formula>"Moderado"</formula>
    </cfRule>
    <cfRule type="cellIs" dxfId="1812" priority="2108" operator="equal">
      <formula>"Menor"</formula>
    </cfRule>
    <cfRule type="cellIs" dxfId="1811" priority="2109" operator="equal">
      <formula>"Leve"</formula>
    </cfRule>
  </conditionalFormatting>
  <conditionalFormatting sqref="AF92">
    <cfRule type="cellIs" dxfId="1810" priority="2101" operator="equal">
      <formula>"Extremo"</formula>
    </cfRule>
    <cfRule type="cellIs" dxfId="1809" priority="2102" operator="equal">
      <formula>"Alto"</formula>
    </cfRule>
    <cfRule type="cellIs" dxfId="1808" priority="2103" operator="equal">
      <formula>"Moderado"</formula>
    </cfRule>
    <cfRule type="cellIs" dxfId="1807" priority="2104" operator="equal">
      <formula>"Bajo"</formula>
    </cfRule>
  </conditionalFormatting>
  <conditionalFormatting sqref="AB94">
    <cfRule type="cellIs" dxfId="1806" priority="2096" operator="equal">
      <formula>"Muy Alta"</formula>
    </cfRule>
    <cfRule type="cellIs" dxfId="1805" priority="2097" operator="equal">
      <formula>"Alta"</formula>
    </cfRule>
    <cfRule type="cellIs" dxfId="1804" priority="2098" operator="equal">
      <formula>"Media"</formula>
    </cfRule>
    <cfRule type="cellIs" dxfId="1803" priority="2099" operator="equal">
      <formula>"Baja"</formula>
    </cfRule>
    <cfRule type="cellIs" dxfId="1802" priority="2100" operator="equal">
      <formula>"Muy Baja"</formula>
    </cfRule>
  </conditionalFormatting>
  <conditionalFormatting sqref="AD94">
    <cfRule type="cellIs" dxfId="1801" priority="2091" operator="equal">
      <formula>"Catastrófico"</formula>
    </cfRule>
    <cfRule type="cellIs" dxfId="1800" priority="2092" operator="equal">
      <formula>"Mayor"</formula>
    </cfRule>
    <cfRule type="cellIs" dxfId="1799" priority="2093" operator="equal">
      <formula>"Moderado"</formula>
    </cfRule>
    <cfRule type="cellIs" dxfId="1798" priority="2094" operator="equal">
      <formula>"Menor"</formula>
    </cfRule>
    <cfRule type="cellIs" dxfId="1797" priority="2095" operator="equal">
      <formula>"Leve"</formula>
    </cfRule>
  </conditionalFormatting>
  <conditionalFormatting sqref="AF94">
    <cfRule type="cellIs" dxfId="1796" priority="2087" operator="equal">
      <formula>"Extremo"</formula>
    </cfRule>
    <cfRule type="cellIs" dxfId="1795" priority="2088" operator="equal">
      <formula>"Alto"</formula>
    </cfRule>
    <cfRule type="cellIs" dxfId="1794" priority="2089" operator="equal">
      <formula>"Moderado"</formula>
    </cfRule>
    <cfRule type="cellIs" dxfId="1793" priority="2090" operator="equal">
      <formula>"Bajo"</formula>
    </cfRule>
  </conditionalFormatting>
  <conditionalFormatting sqref="AB93">
    <cfRule type="cellIs" dxfId="1792" priority="2082" operator="equal">
      <formula>"Muy Alta"</formula>
    </cfRule>
    <cfRule type="cellIs" dxfId="1791" priority="2083" operator="equal">
      <formula>"Alta"</formula>
    </cfRule>
    <cfRule type="cellIs" dxfId="1790" priority="2084" operator="equal">
      <formula>"Media"</formula>
    </cfRule>
    <cfRule type="cellIs" dxfId="1789" priority="2085" operator="equal">
      <formula>"Baja"</formula>
    </cfRule>
    <cfRule type="cellIs" dxfId="1788" priority="2086" operator="equal">
      <formula>"Muy Baja"</formula>
    </cfRule>
  </conditionalFormatting>
  <conditionalFormatting sqref="AD93">
    <cfRule type="cellIs" dxfId="1787" priority="2077" operator="equal">
      <formula>"Catastrófico"</formula>
    </cfRule>
    <cfRule type="cellIs" dxfId="1786" priority="2078" operator="equal">
      <formula>"Mayor"</formula>
    </cfRule>
    <cfRule type="cellIs" dxfId="1785" priority="2079" operator="equal">
      <formula>"Moderado"</formula>
    </cfRule>
    <cfRule type="cellIs" dxfId="1784" priority="2080" operator="equal">
      <formula>"Menor"</formula>
    </cfRule>
    <cfRule type="cellIs" dxfId="1783" priority="2081" operator="equal">
      <formula>"Leve"</formula>
    </cfRule>
  </conditionalFormatting>
  <conditionalFormatting sqref="AF93">
    <cfRule type="cellIs" dxfId="1782" priority="2073" operator="equal">
      <formula>"Extremo"</formula>
    </cfRule>
    <cfRule type="cellIs" dxfId="1781" priority="2074" operator="equal">
      <formula>"Alto"</formula>
    </cfRule>
    <cfRule type="cellIs" dxfId="1780" priority="2075" operator="equal">
      <formula>"Moderado"</formula>
    </cfRule>
    <cfRule type="cellIs" dxfId="1779" priority="2076" operator="equal">
      <formula>"Bajo"</formula>
    </cfRule>
  </conditionalFormatting>
  <conditionalFormatting sqref="AB95">
    <cfRule type="cellIs" dxfId="1778" priority="2068" operator="equal">
      <formula>"Muy Alta"</formula>
    </cfRule>
    <cfRule type="cellIs" dxfId="1777" priority="2069" operator="equal">
      <formula>"Alta"</formula>
    </cfRule>
    <cfRule type="cellIs" dxfId="1776" priority="2070" operator="equal">
      <formula>"Media"</formula>
    </cfRule>
    <cfRule type="cellIs" dxfId="1775" priority="2071" operator="equal">
      <formula>"Baja"</formula>
    </cfRule>
    <cfRule type="cellIs" dxfId="1774" priority="2072" operator="equal">
      <formula>"Muy Baja"</formula>
    </cfRule>
  </conditionalFormatting>
  <conditionalFormatting sqref="AD95">
    <cfRule type="cellIs" dxfId="1773" priority="2063" operator="equal">
      <formula>"Catastrófico"</formula>
    </cfRule>
    <cfRule type="cellIs" dxfId="1772" priority="2064" operator="equal">
      <formula>"Mayor"</formula>
    </cfRule>
    <cfRule type="cellIs" dxfId="1771" priority="2065" operator="equal">
      <formula>"Moderado"</formula>
    </cfRule>
    <cfRule type="cellIs" dxfId="1770" priority="2066" operator="equal">
      <formula>"Menor"</formula>
    </cfRule>
    <cfRule type="cellIs" dxfId="1769" priority="2067" operator="equal">
      <formula>"Leve"</formula>
    </cfRule>
  </conditionalFormatting>
  <conditionalFormatting sqref="AF95">
    <cfRule type="cellIs" dxfId="1768" priority="2059" operator="equal">
      <formula>"Extremo"</formula>
    </cfRule>
    <cfRule type="cellIs" dxfId="1767" priority="2060" operator="equal">
      <formula>"Alto"</formula>
    </cfRule>
    <cfRule type="cellIs" dxfId="1766" priority="2061" operator="equal">
      <formula>"Moderado"</formula>
    </cfRule>
    <cfRule type="cellIs" dxfId="1765" priority="2062" operator="equal">
      <formula>"Bajo"</formula>
    </cfRule>
  </conditionalFormatting>
  <conditionalFormatting sqref="AB96">
    <cfRule type="cellIs" dxfId="1764" priority="2054" operator="equal">
      <formula>"Muy Alta"</formula>
    </cfRule>
    <cfRule type="cellIs" dxfId="1763" priority="2055" operator="equal">
      <formula>"Alta"</formula>
    </cfRule>
    <cfRule type="cellIs" dxfId="1762" priority="2056" operator="equal">
      <formula>"Media"</formula>
    </cfRule>
    <cfRule type="cellIs" dxfId="1761" priority="2057" operator="equal">
      <formula>"Baja"</formula>
    </cfRule>
    <cfRule type="cellIs" dxfId="1760" priority="2058" operator="equal">
      <formula>"Muy Baja"</formula>
    </cfRule>
  </conditionalFormatting>
  <conditionalFormatting sqref="AD96">
    <cfRule type="cellIs" dxfId="1759" priority="2049" operator="equal">
      <formula>"Catastrófico"</formula>
    </cfRule>
    <cfRule type="cellIs" dxfId="1758" priority="2050" operator="equal">
      <formula>"Mayor"</formula>
    </cfRule>
    <cfRule type="cellIs" dxfId="1757" priority="2051" operator="equal">
      <formula>"Moderado"</formula>
    </cfRule>
    <cfRule type="cellIs" dxfId="1756" priority="2052" operator="equal">
      <formula>"Menor"</formula>
    </cfRule>
    <cfRule type="cellIs" dxfId="1755" priority="2053" operator="equal">
      <formula>"Leve"</formula>
    </cfRule>
  </conditionalFormatting>
  <conditionalFormatting sqref="AF96">
    <cfRule type="cellIs" dxfId="1754" priority="2045" operator="equal">
      <formula>"Extremo"</formula>
    </cfRule>
    <cfRule type="cellIs" dxfId="1753" priority="2046" operator="equal">
      <formula>"Alto"</formula>
    </cfRule>
    <cfRule type="cellIs" dxfId="1752" priority="2047" operator="equal">
      <formula>"Moderado"</formula>
    </cfRule>
    <cfRule type="cellIs" dxfId="1751" priority="2048" operator="equal">
      <formula>"Bajo"</formula>
    </cfRule>
  </conditionalFormatting>
  <conditionalFormatting sqref="AB98">
    <cfRule type="cellIs" dxfId="1750" priority="2040" operator="equal">
      <formula>"Muy Alta"</formula>
    </cfRule>
    <cfRule type="cellIs" dxfId="1749" priority="2041" operator="equal">
      <formula>"Alta"</formula>
    </cfRule>
    <cfRule type="cellIs" dxfId="1748" priority="2042" operator="equal">
      <formula>"Media"</formula>
    </cfRule>
    <cfRule type="cellIs" dxfId="1747" priority="2043" operator="equal">
      <formula>"Baja"</formula>
    </cfRule>
    <cfRule type="cellIs" dxfId="1746" priority="2044" operator="equal">
      <formula>"Muy Baja"</formula>
    </cfRule>
  </conditionalFormatting>
  <conditionalFormatting sqref="AD98">
    <cfRule type="cellIs" dxfId="1745" priority="2035" operator="equal">
      <formula>"Catastrófico"</formula>
    </cfRule>
    <cfRule type="cellIs" dxfId="1744" priority="2036" operator="equal">
      <formula>"Mayor"</formula>
    </cfRule>
    <cfRule type="cellIs" dxfId="1743" priority="2037" operator="equal">
      <formula>"Moderado"</formula>
    </cfRule>
    <cfRule type="cellIs" dxfId="1742" priority="2038" operator="equal">
      <formula>"Menor"</formula>
    </cfRule>
    <cfRule type="cellIs" dxfId="1741" priority="2039" operator="equal">
      <formula>"Leve"</formula>
    </cfRule>
  </conditionalFormatting>
  <conditionalFormatting sqref="AF98">
    <cfRule type="cellIs" dxfId="1740" priority="2031" operator="equal">
      <formula>"Extremo"</formula>
    </cfRule>
    <cfRule type="cellIs" dxfId="1739" priority="2032" operator="equal">
      <formula>"Alto"</formula>
    </cfRule>
    <cfRule type="cellIs" dxfId="1738" priority="2033" operator="equal">
      <formula>"Moderado"</formula>
    </cfRule>
    <cfRule type="cellIs" dxfId="1737" priority="2034" operator="equal">
      <formula>"Bajo"</formula>
    </cfRule>
  </conditionalFormatting>
  <conditionalFormatting sqref="AB103">
    <cfRule type="cellIs" dxfId="1736" priority="1998" operator="equal">
      <formula>"Muy Alta"</formula>
    </cfRule>
    <cfRule type="cellIs" dxfId="1735" priority="1999" operator="equal">
      <formula>"Alta"</formula>
    </cfRule>
    <cfRule type="cellIs" dxfId="1734" priority="2000" operator="equal">
      <formula>"Media"</formula>
    </cfRule>
    <cfRule type="cellIs" dxfId="1733" priority="2001" operator="equal">
      <formula>"Baja"</formula>
    </cfRule>
    <cfRule type="cellIs" dxfId="1732" priority="2002" operator="equal">
      <formula>"Muy Baja"</formula>
    </cfRule>
  </conditionalFormatting>
  <conditionalFormatting sqref="AD103">
    <cfRule type="cellIs" dxfId="1731" priority="1993" operator="equal">
      <formula>"Catastrófico"</formula>
    </cfRule>
    <cfRule type="cellIs" dxfId="1730" priority="1994" operator="equal">
      <formula>"Mayor"</formula>
    </cfRule>
    <cfRule type="cellIs" dxfId="1729" priority="1995" operator="equal">
      <formula>"Moderado"</formula>
    </cfRule>
    <cfRule type="cellIs" dxfId="1728" priority="1996" operator="equal">
      <formula>"Menor"</formula>
    </cfRule>
    <cfRule type="cellIs" dxfId="1727" priority="1997" operator="equal">
      <formula>"Leve"</formula>
    </cfRule>
  </conditionalFormatting>
  <conditionalFormatting sqref="AF103">
    <cfRule type="cellIs" dxfId="1726" priority="1989" operator="equal">
      <formula>"Extremo"</formula>
    </cfRule>
    <cfRule type="cellIs" dxfId="1725" priority="1990" operator="equal">
      <formula>"Alto"</formula>
    </cfRule>
    <cfRule type="cellIs" dxfId="1724" priority="1991" operator="equal">
      <formula>"Moderado"</formula>
    </cfRule>
    <cfRule type="cellIs" dxfId="1723" priority="1992" operator="equal">
      <formula>"Bajo"</formula>
    </cfRule>
  </conditionalFormatting>
  <conditionalFormatting sqref="AB104">
    <cfRule type="cellIs" dxfId="1722" priority="1956" operator="equal">
      <formula>"Muy Alta"</formula>
    </cfRule>
    <cfRule type="cellIs" dxfId="1721" priority="1957" operator="equal">
      <formula>"Alta"</formula>
    </cfRule>
    <cfRule type="cellIs" dxfId="1720" priority="1958" operator="equal">
      <formula>"Media"</formula>
    </cfRule>
    <cfRule type="cellIs" dxfId="1719" priority="1959" operator="equal">
      <formula>"Baja"</formula>
    </cfRule>
    <cfRule type="cellIs" dxfId="1718" priority="1960" operator="equal">
      <formula>"Muy Baja"</formula>
    </cfRule>
  </conditionalFormatting>
  <conditionalFormatting sqref="AD104">
    <cfRule type="cellIs" dxfId="1717" priority="1951" operator="equal">
      <formula>"Catastrófico"</formula>
    </cfRule>
    <cfRule type="cellIs" dxfId="1716" priority="1952" operator="equal">
      <formula>"Mayor"</formula>
    </cfRule>
    <cfRule type="cellIs" dxfId="1715" priority="1953" operator="equal">
      <formula>"Moderado"</formula>
    </cfRule>
    <cfRule type="cellIs" dxfId="1714" priority="1954" operator="equal">
      <formula>"Menor"</formula>
    </cfRule>
    <cfRule type="cellIs" dxfId="1713" priority="1955" operator="equal">
      <formula>"Leve"</formula>
    </cfRule>
  </conditionalFormatting>
  <conditionalFormatting sqref="AF104">
    <cfRule type="cellIs" dxfId="1712" priority="1947" operator="equal">
      <formula>"Extremo"</formula>
    </cfRule>
    <cfRule type="cellIs" dxfId="1711" priority="1948" operator="equal">
      <formula>"Alto"</formula>
    </cfRule>
    <cfRule type="cellIs" dxfId="1710" priority="1949" operator="equal">
      <formula>"Moderado"</formula>
    </cfRule>
    <cfRule type="cellIs" dxfId="1709" priority="1950" operator="equal">
      <formula>"Bajo"</formula>
    </cfRule>
  </conditionalFormatting>
  <conditionalFormatting sqref="AB105">
    <cfRule type="cellIs" dxfId="1708" priority="1942" operator="equal">
      <formula>"Muy Alta"</formula>
    </cfRule>
    <cfRule type="cellIs" dxfId="1707" priority="1943" operator="equal">
      <formula>"Alta"</formula>
    </cfRule>
    <cfRule type="cellIs" dxfId="1706" priority="1944" operator="equal">
      <formula>"Media"</formula>
    </cfRule>
    <cfRule type="cellIs" dxfId="1705" priority="1945" operator="equal">
      <formula>"Baja"</formula>
    </cfRule>
    <cfRule type="cellIs" dxfId="1704" priority="1946" operator="equal">
      <formula>"Muy Baja"</formula>
    </cfRule>
  </conditionalFormatting>
  <conditionalFormatting sqref="AD105">
    <cfRule type="cellIs" dxfId="1703" priority="1937" operator="equal">
      <formula>"Catastrófico"</formula>
    </cfRule>
    <cfRule type="cellIs" dxfId="1702" priority="1938" operator="equal">
      <formula>"Mayor"</formula>
    </cfRule>
    <cfRule type="cellIs" dxfId="1701" priority="1939" operator="equal">
      <formula>"Moderado"</formula>
    </cfRule>
    <cfRule type="cellIs" dxfId="1700" priority="1940" operator="equal">
      <formula>"Menor"</formula>
    </cfRule>
    <cfRule type="cellIs" dxfId="1699" priority="1941" operator="equal">
      <formula>"Leve"</formula>
    </cfRule>
  </conditionalFormatting>
  <conditionalFormatting sqref="AF105">
    <cfRule type="cellIs" dxfId="1698" priority="1933" operator="equal">
      <formula>"Extremo"</formula>
    </cfRule>
    <cfRule type="cellIs" dxfId="1697" priority="1934" operator="equal">
      <formula>"Alto"</formula>
    </cfRule>
    <cfRule type="cellIs" dxfId="1696" priority="1935" operator="equal">
      <formula>"Moderado"</formula>
    </cfRule>
    <cfRule type="cellIs" dxfId="1695" priority="1936" operator="equal">
      <formula>"Bajo"</formula>
    </cfRule>
  </conditionalFormatting>
  <conditionalFormatting sqref="AB107">
    <cfRule type="cellIs" dxfId="1694" priority="1928" operator="equal">
      <formula>"Muy Alta"</formula>
    </cfRule>
    <cfRule type="cellIs" dxfId="1693" priority="1929" operator="equal">
      <formula>"Alta"</formula>
    </cfRule>
    <cfRule type="cellIs" dxfId="1692" priority="1930" operator="equal">
      <formula>"Media"</formula>
    </cfRule>
    <cfRule type="cellIs" dxfId="1691" priority="1931" operator="equal">
      <formula>"Baja"</formula>
    </cfRule>
    <cfRule type="cellIs" dxfId="1690" priority="1932" operator="equal">
      <formula>"Muy Baja"</formula>
    </cfRule>
  </conditionalFormatting>
  <conditionalFormatting sqref="AD107">
    <cfRule type="cellIs" dxfId="1689" priority="1923" operator="equal">
      <formula>"Catastrófico"</formula>
    </cfRule>
    <cfRule type="cellIs" dxfId="1688" priority="1924" operator="equal">
      <formula>"Mayor"</formula>
    </cfRule>
    <cfRule type="cellIs" dxfId="1687" priority="1925" operator="equal">
      <formula>"Moderado"</formula>
    </cfRule>
    <cfRule type="cellIs" dxfId="1686" priority="1926" operator="equal">
      <formula>"Menor"</formula>
    </cfRule>
    <cfRule type="cellIs" dxfId="1685" priority="1927" operator="equal">
      <formula>"Leve"</formula>
    </cfRule>
  </conditionalFormatting>
  <conditionalFormatting sqref="AF107">
    <cfRule type="cellIs" dxfId="1684" priority="1919" operator="equal">
      <formula>"Extremo"</formula>
    </cfRule>
    <cfRule type="cellIs" dxfId="1683" priority="1920" operator="equal">
      <formula>"Alto"</formula>
    </cfRule>
    <cfRule type="cellIs" dxfId="1682" priority="1921" operator="equal">
      <formula>"Moderado"</formula>
    </cfRule>
    <cfRule type="cellIs" dxfId="1681" priority="1922" operator="equal">
      <formula>"Bajo"</formula>
    </cfRule>
  </conditionalFormatting>
  <conditionalFormatting sqref="AB108">
    <cfRule type="cellIs" dxfId="1680" priority="1914" operator="equal">
      <formula>"Muy Alta"</formula>
    </cfRule>
    <cfRule type="cellIs" dxfId="1679" priority="1915" operator="equal">
      <formula>"Alta"</formula>
    </cfRule>
    <cfRule type="cellIs" dxfId="1678" priority="1916" operator="equal">
      <formula>"Media"</formula>
    </cfRule>
    <cfRule type="cellIs" dxfId="1677" priority="1917" operator="equal">
      <formula>"Baja"</formula>
    </cfRule>
    <cfRule type="cellIs" dxfId="1676" priority="1918" operator="equal">
      <formula>"Muy Baja"</formula>
    </cfRule>
  </conditionalFormatting>
  <conditionalFormatting sqref="AD108">
    <cfRule type="cellIs" dxfId="1675" priority="1909" operator="equal">
      <formula>"Catastrófico"</formula>
    </cfRule>
    <cfRule type="cellIs" dxfId="1674" priority="1910" operator="equal">
      <formula>"Mayor"</formula>
    </cfRule>
    <cfRule type="cellIs" dxfId="1673" priority="1911" operator="equal">
      <formula>"Moderado"</formula>
    </cfRule>
    <cfRule type="cellIs" dxfId="1672" priority="1912" operator="equal">
      <formula>"Menor"</formula>
    </cfRule>
    <cfRule type="cellIs" dxfId="1671" priority="1913" operator="equal">
      <formula>"Leve"</formula>
    </cfRule>
  </conditionalFormatting>
  <conditionalFormatting sqref="AF108">
    <cfRule type="cellIs" dxfId="1670" priority="1905" operator="equal">
      <formula>"Extremo"</formula>
    </cfRule>
    <cfRule type="cellIs" dxfId="1669" priority="1906" operator="equal">
      <formula>"Alto"</formula>
    </cfRule>
    <cfRule type="cellIs" dxfId="1668" priority="1907" operator="equal">
      <formula>"Moderado"</formula>
    </cfRule>
    <cfRule type="cellIs" dxfId="1667" priority="1908" operator="equal">
      <formula>"Bajo"</formula>
    </cfRule>
  </conditionalFormatting>
  <conditionalFormatting sqref="AB124">
    <cfRule type="cellIs" dxfId="1666" priority="1900" operator="equal">
      <formula>"Muy Alta"</formula>
    </cfRule>
    <cfRule type="cellIs" dxfId="1665" priority="1901" operator="equal">
      <formula>"Alta"</formula>
    </cfRule>
    <cfRule type="cellIs" dxfId="1664" priority="1902" operator="equal">
      <formula>"Media"</formula>
    </cfRule>
    <cfRule type="cellIs" dxfId="1663" priority="1903" operator="equal">
      <formula>"Baja"</formula>
    </cfRule>
    <cfRule type="cellIs" dxfId="1662" priority="1904" operator="equal">
      <formula>"Muy Baja"</formula>
    </cfRule>
  </conditionalFormatting>
  <conditionalFormatting sqref="AD124">
    <cfRule type="cellIs" dxfId="1661" priority="1895" operator="equal">
      <formula>"Catastrófico"</formula>
    </cfRule>
    <cfRule type="cellIs" dxfId="1660" priority="1896" operator="equal">
      <formula>"Mayor"</formula>
    </cfRule>
    <cfRule type="cellIs" dxfId="1659" priority="1897" operator="equal">
      <formula>"Moderado"</formula>
    </cfRule>
    <cfRule type="cellIs" dxfId="1658" priority="1898" operator="equal">
      <formula>"Menor"</formula>
    </cfRule>
    <cfRule type="cellIs" dxfId="1657" priority="1899" operator="equal">
      <formula>"Leve"</formula>
    </cfRule>
  </conditionalFormatting>
  <conditionalFormatting sqref="AF124">
    <cfRule type="cellIs" dxfId="1656" priority="1891" operator="equal">
      <formula>"Extremo"</formula>
    </cfRule>
    <cfRule type="cellIs" dxfId="1655" priority="1892" operator="equal">
      <formula>"Alto"</formula>
    </cfRule>
    <cfRule type="cellIs" dxfId="1654" priority="1893" operator="equal">
      <formula>"Moderado"</formula>
    </cfRule>
    <cfRule type="cellIs" dxfId="1653" priority="1894" operator="equal">
      <formula>"Bajo"</formula>
    </cfRule>
  </conditionalFormatting>
  <conditionalFormatting sqref="AB125">
    <cfRule type="cellIs" dxfId="1652" priority="1886" operator="equal">
      <formula>"Muy Alta"</formula>
    </cfRule>
    <cfRule type="cellIs" dxfId="1651" priority="1887" operator="equal">
      <formula>"Alta"</formula>
    </cfRule>
    <cfRule type="cellIs" dxfId="1650" priority="1888" operator="equal">
      <formula>"Media"</formula>
    </cfRule>
    <cfRule type="cellIs" dxfId="1649" priority="1889" operator="equal">
      <formula>"Baja"</formula>
    </cfRule>
    <cfRule type="cellIs" dxfId="1648" priority="1890" operator="equal">
      <formula>"Muy Baja"</formula>
    </cfRule>
  </conditionalFormatting>
  <conditionalFormatting sqref="AD125">
    <cfRule type="cellIs" dxfId="1647" priority="1881" operator="equal">
      <formula>"Catastrófico"</formula>
    </cfRule>
    <cfRule type="cellIs" dxfId="1646" priority="1882" operator="equal">
      <formula>"Mayor"</formula>
    </cfRule>
    <cfRule type="cellIs" dxfId="1645" priority="1883" operator="equal">
      <formula>"Moderado"</formula>
    </cfRule>
    <cfRule type="cellIs" dxfId="1644" priority="1884" operator="equal">
      <formula>"Menor"</formula>
    </cfRule>
    <cfRule type="cellIs" dxfId="1643" priority="1885" operator="equal">
      <formula>"Leve"</formula>
    </cfRule>
  </conditionalFormatting>
  <conditionalFormatting sqref="AF125">
    <cfRule type="cellIs" dxfId="1642" priority="1877" operator="equal">
      <formula>"Extremo"</formula>
    </cfRule>
    <cfRule type="cellIs" dxfId="1641" priority="1878" operator="equal">
      <formula>"Alto"</formula>
    </cfRule>
    <cfRule type="cellIs" dxfId="1640" priority="1879" operator="equal">
      <formula>"Moderado"</formula>
    </cfRule>
    <cfRule type="cellIs" dxfId="1639" priority="1880" operator="equal">
      <formula>"Bajo"</formula>
    </cfRule>
  </conditionalFormatting>
  <conditionalFormatting sqref="AB126">
    <cfRule type="cellIs" dxfId="1638" priority="1872" operator="equal">
      <formula>"Muy Alta"</formula>
    </cfRule>
    <cfRule type="cellIs" dxfId="1637" priority="1873" operator="equal">
      <formula>"Alta"</formula>
    </cfRule>
    <cfRule type="cellIs" dxfId="1636" priority="1874" operator="equal">
      <formula>"Media"</formula>
    </cfRule>
    <cfRule type="cellIs" dxfId="1635" priority="1875" operator="equal">
      <formula>"Baja"</formula>
    </cfRule>
    <cfRule type="cellIs" dxfId="1634" priority="1876" operator="equal">
      <formula>"Muy Baja"</formula>
    </cfRule>
  </conditionalFormatting>
  <conditionalFormatting sqref="AD126">
    <cfRule type="cellIs" dxfId="1633" priority="1867" operator="equal">
      <formula>"Catastrófico"</formula>
    </cfRule>
    <cfRule type="cellIs" dxfId="1632" priority="1868" operator="equal">
      <formula>"Mayor"</formula>
    </cfRule>
    <cfRule type="cellIs" dxfId="1631" priority="1869" operator="equal">
      <formula>"Moderado"</formula>
    </cfRule>
    <cfRule type="cellIs" dxfId="1630" priority="1870" operator="equal">
      <formula>"Menor"</formula>
    </cfRule>
    <cfRule type="cellIs" dxfId="1629" priority="1871" operator="equal">
      <formula>"Leve"</formula>
    </cfRule>
  </conditionalFormatting>
  <conditionalFormatting sqref="AF126">
    <cfRule type="cellIs" dxfId="1628" priority="1863" operator="equal">
      <formula>"Extremo"</formula>
    </cfRule>
    <cfRule type="cellIs" dxfId="1627" priority="1864" operator="equal">
      <formula>"Alto"</formula>
    </cfRule>
    <cfRule type="cellIs" dxfId="1626" priority="1865" operator="equal">
      <formula>"Moderado"</formula>
    </cfRule>
    <cfRule type="cellIs" dxfId="1625" priority="1866" operator="equal">
      <formula>"Bajo"</formula>
    </cfRule>
  </conditionalFormatting>
  <conditionalFormatting sqref="K10">
    <cfRule type="cellIs" dxfId="1624" priority="1858" operator="equal">
      <formula>"Muy Alta"</formula>
    </cfRule>
    <cfRule type="cellIs" dxfId="1623" priority="1859" operator="equal">
      <formula>"Alta"</formula>
    </cfRule>
    <cfRule type="cellIs" dxfId="1622" priority="1860" operator="equal">
      <formula>"Media"</formula>
    </cfRule>
    <cfRule type="cellIs" dxfId="1621" priority="1861" operator="equal">
      <formula>"Baja"</formula>
    </cfRule>
    <cfRule type="cellIs" dxfId="1620" priority="1862" operator="equal">
      <formula>"Muy Baja"</formula>
    </cfRule>
  </conditionalFormatting>
  <conditionalFormatting sqref="O10">
    <cfRule type="cellIs" dxfId="1619" priority="1853" operator="equal">
      <formula>"Catastrófico"</formula>
    </cfRule>
    <cfRule type="cellIs" dxfId="1618" priority="1854" operator="equal">
      <formula>"Mayor"</formula>
    </cfRule>
    <cfRule type="cellIs" dxfId="1617" priority="1855" operator="equal">
      <formula>"Moderado"</formula>
    </cfRule>
    <cfRule type="cellIs" dxfId="1616" priority="1856" operator="equal">
      <formula>"Menor"</formula>
    </cfRule>
    <cfRule type="cellIs" dxfId="1615" priority="1857" operator="equal">
      <formula>"Leve"</formula>
    </cfRule>
  </conditionalFormatting>
  <conditionalFormatting sqref="Q10">
    <cfRule type="cellIs" dxfId="1614" priority="1849" operator="equal">
      <formula>"Extremo"</formula>
    </cfRule>
    <cfRule type="cellIs" dxfId="1613" priority="1850" operator="equal">
      <formula>"Alto"</formula>
    </cfRule>
    <cfRule type="cellIs" dxfId="1612" priority="1851" operator="equal">
      <formula>"Moderado"</formula>
    </cfRule>
    <cfRule type="cellIs" dxfId="1611" priority="1852" operator="equal">
      <formula>"Bajo"</formula>
    </cfRule>
  </conditionalFormatting>
  <conditionalFormatting sqref="N10:N12">
    <cfRule type="containsText" dxfId="1610" priority="1848" operator="containsText" text="❌">
      <formula>NOT(ISERROR(SEARCH("❌",N10)))</formula>
    </cfRule>
  </conditionalFormatting>
  <conditionalFormatting sqref="K13">
    <cfRule type="cellIs" dxfId="1609" priority="1843" operator="equal">
      <formula>"Muy Alta"</formula>
    </cfRule>
    <cfRule type="cellIs" dxfId="1608" priority="1844" operator="equal">
      <formula>"Alta"</formula>
    </cfRule>
    <cfRule type="cellIs" dxfId="1607" priority="1845" operator="equal">
      <formula>"Media"</formula>
    </cfRule>
    <cfRule type="cellIs" dxfId="1606" priority="1846" operator="equal">
      <formula>"Baja"</formula>
    </cfRule>
    <cfRule type="cellIs" dxfId="1605" priority="1847" operator="equal">
      <formula>"Muy Baja"</formula>
    </cfRule>
  </conditionalFormatting>
  <conditionalFormatting sqref="O13">
    <cfRule type="cellIs" dxfId="1604" priority="1838" operator="equal">
      <formula>"Catastrófico"</formula>
    </cfRule>
    <cfRule type="cellIs" dxfId="1603" priority="1839" operator="equal">
      <formula>"Mayor"</formula>
    </cfRule>
    <cfRule type="cellIs" dxfId="1602" priority="1840" operator="equal">
      <formula>"Moderado"</formula>
    </cfRule>
    <cfRule type="cellIs" dxfId="1601" priority="1841" operator="equal">
      <formula>"Menor"</formula>
    </cfRule>
    <cfRule type="cellIs" dxfId="1600" priority="1842" operator="equal">
      <formula>"Leve"</formula>
    </cfRule>
  </conditionalFormatting>
  <conditionalFormatting sqref="Q13">
    <cfRule type="cellIs" dxfId="1599" priority="1834" operator="equal">
      <formula>"Extremo"</formula>
    </cfRule>
    <cfRule type="cellIs" dxfId="1598" priority="1835" operator="equal">
      <formula>"Alto"</formula>
    </cfRule>
    <cfRule type="cellIs" dxfId="1597" priority="1836" operator="equal">
      <formula>"Moderado"</formula>
    </cfRule>
    <cfRule type="cellIs" dxfId="1596" priority="1837" operator="equal">
      <formula>"Bajo"</formula>
    </cfRule>
  </conditionalFormatting>
  <conditionalFormatting sqref="N13:N15">
    <cfRule type="containsText" dxfId="1595" priority="1833" operator="containsText" text="❌">
      <formula>NOT(ISERROR(SEARCH("❌",N13)))</formula>
    </cfRule>
  </conditionalFormatting>
  <conditionalFormatting sqref="K16">
    <cfRule type="cellIs" dxfId="1594" priority="1813" operator="equal">
      <formula>"Muy Alta"</formula>
    </cfRule>
    <cfRule type="cellIs" dxfId="1593" priority="1814" operator="equal">
      <formula>"Alta"</formula>
    </cfRule>
    <cfRule type="cellIs" dxfId="1592" priority="1815" operator="equal">
      <formula>"Media"</formula>
    </cfRule>
    <cfRule type="cellIs" dxfId="1591" priority="1816" operator="equal">
      <formula>"Baja"</formula>
    </cfRule>
    <cfRule type="cellIs" dxfId="1590" priority="1817" operator="equal">
      <formula>"Muy Baja"</formula>
    </cfRule>
  </conditionalFormatting>
  <conditionalFormatting sqref="O16">
    <cfRule type="cellIs" dxfId="1589" priority="1808" operator="equal">
      <formula>"Catastrófico"</formula>
    </cfRule>
    <cfRule type="cellIs" dxfId="1588" priority="1809" operator="equal">
      <formula>"Mayor"</formula>
    </cfRule>
    <cfRule type="cellIs" dxfId="1587" priority="1810" operator="equal">
      <formula>"Moderado"</formula>
    </cfRule>
    <cfRule type="cellIs" dxfId="1586" priority="1811" operator="equal">
      <formula>"Menor"</formula>
    </cfRule>
    <cfRule type="cellIs" dxfId="1585" priority="1812" operator="equal">
      <formula>"Leve"</formula>
    </cfRule>
  </conditionalFormatting>
  <conditionalFormatting sqref="Q16">
    <cfRule type="cellIs" dxfId="1584" priority="1804" operator="equal">
      <formula>"Extremo"</formula>
    </cfRule>
    <cfRule type="cellIs" dxfId="1583" priority="1805" operator="equal">
      <formula>"Alto"</formula>
    </cfRule>
    <cfRule type="cellIs" dxfId="1582" priority="1806" operator="equal">
      <formula>"Moderado"</formula>
    </cfRule>
    <cfRule type="cellIs" dxfId="1581" priority="1807" operator="equal">
      <formula>"Bajo"</formula>
    </cfRule>
  </conditionalFormatting>
  <conditionalFormatting sqref="N16:N18">
    <cfRule type="containsText" dxfId="1580" priority="1803" operator="containsText" text="❌">
      <formula>NOT(ISERROR(SEARCH("❌",N16)))</formula>
    </cfRule>
  </conditionalFormatting>
  <conditionalFormatting sqref="K19">
    <cfRule type="cellIs" dxfId="1579" priority="1798" operator="equal">
      <formula>"Muy Alta"</formula>
    </cfRule>
    <cfRule type="cellIs" dxfId="1578" priority="1799" operator="equal">
      <formula>"Alta"</formula>
    </cfRule>
    <cfRule type="cellIs" dxfId="1577" priority="1800" operator="equal">
      <formula>"Media"</formula>
    </cfRule>
    <cfRule type="cellIs" dxfId="1576" priority="1801" operator="equal">
      <formula>"Baja"</formula>
    </cfRule>
    <cfRule type="cellIs" dxfId="1575" priority="1802" operator="equal">
      <formula>"Muy Baja"</formula>
    </cfRule>
  </conditionalFormatting>
  <conditionalFormatting sqref="O19">
    <cfRule type="cellIs" dxfId="1574" priority="1793" operator="equal">
      <formula>"Catastrófico"</formula>
    </cfRule>
    <cfRule type="cellIs" dxfId="1573" priority="1794" operator="equal">
      <formula>"Mayor"</formula>
    </cfRule>
    <cfRule type="cellIs" dxfId="1572" priority="1795" operator="equal">
      <formula>"Moderado"</formula>
    </cfRule>
    <cfRule type="cellIs" dxfId="1571" priority="1796" operator="equal">
      <formula>"Menor"</formula>
    </cfRule>
    <cfRule type="cellIs" dxfId="1570" priority="1797" operator="equal">
      <formula>"Leve"</formula>
    </cfRule>
  </conditionalFormatting>
  <conditionalFormatting sqref="Q19">
    <cfRule type="cellIs" dxfId="1569" priority="1789" operator="equal">
      <formula>"Extremo"</formula>
    </cfRule>
    <cfRule type="cellIs" dxfId="1568" priority="1790" operator="equal">
      <formula>"Alto"</formula>
    </cfRule>
    <cfRule type="cellIs" dxfId="1567" priority="1791" operator="equal">
      <formula>"Moderado"</formula>
    </cfRule>
    <cfRule type="cellIs" dxfId="1566" priority="1792" operator="equal">
      <formula>"Bajo"</formula>
    </cfRule>
  </conditionalFormatting>
  <conditionalFormatting sqref="N19:N21">
    <cfRule type="containsText" dxfId="1565" priority="1788" operator="containsText" text="❌">
      <formula>NOT(ISERROR(SEARCH("❌",N19)))</formula>
    </cfRule>
  </conditionalFormatting>
  <conditionalFormatting sqref="K22">
    <cfRule type="cellIs" dxfId="1564" priority="1783" operator="equal">
      <formula>"Muy Alta"</formula>
    </cfRule>
    <cfRule type="cellIs" dxfId="1563" priority="1784" operator="equal">
      <formula>"Alta"</formula>
    </cfRule>
    <cfRule type="cellIs" dxfId="1562" priority="1785" operator="equal">
      <formula>"Media"</formula>
    </cfRule>
    <cfRule type="cellIs" dxfId="1561" priority="1786" operator="equal">
      <formula>"Baja"</formula>
    </cfRule>
    <cfRule type="cellIs" dxfId="1560" priority="1787" operator="equal">
      <formula>"Muy Baja"</formula>
    </cfRule>
  </conditionalFormatting>
  <conditionalFormatting sqref="O22">
    <cfRule type="cellIs" dxfId="1559" priority="1778" operator="equal">
      <formula>"Catastrófico"</formula>
    </cfRule>
    <cfRule type="cellIs" dxfId="1558" priority="1779" operator="equal">
      <formula>"Mayor"</formula>
    </cfRule>
    <cfRule type="cellIs" dxfId="1557" priority="1780" operator="equal">
      <formula>"Moderado"</formula>
    </cfRule>
    <cfRule type="cellIs" dxfId="1556" priority="1781" operator="equal">
      <formula>"Menor"</formula>
    </cfRule>
    <cfRule type="cellIs" dxfId="1555" priority="1782" operator="equal">
      <formula>"Leve"</formula>
    </cfRule>
  </conditionalFormatting>
  <conditionalFormatting sqref="Q22">
    <cfRule type="cellIs" dxfId="1554" priority="1774" operator="equal">
      <formula>"Extremo"</formula>
    </cfRule>
    <cfRule type="cellIs" dxfId="1553" priority="1775" operator="equal">
      <formula>"Alto"</formula>
    </cfRule>
    <cfRule type="cellIs" dxfId="1552" priority="1776" operator="equal">
      <formula>"Moderado"</formula>
    </cfRule>
    <cfRule type="cellIs" dxfId="1551" priority="1777" operator="equal">
      <formula>"Bajo"</formula>
    </cfRule>
  </conditionalFormatting>
  <conditionalFormatting sqref="N22:N24">
    <cfRule type="containsText" dxfId="1550" priority="1773" operator="containsText" text="❌">
      <formula>NOT(ISERROR(SEARCH("❌",N22)))</formula>
    </cfRule>
  </conditionalFormatting>
  <conditionalFormatting sqref="K25">
    <cfRule type="cellIs" dxfId="1549" priority="1768" operator="equal">
      <formula>"Muy Alta"</formula>
    </cfRule>
    <cfRule type="cellIs" dxfId="1548" priority="1769" operator="equal">
      <formula>"Alta"</formula>
    </cfRule>
    <cfRule type="cellIs" dxfId="1547" priority="1770" operator="equal">
      <formula>"Media"</formula>
    </cfRule>
    <cfRule type="cellIs" dxfId="1546" priority="1771" operator="equal">
      <formula>"Baja"</formula>
    </cfRule>
    <cfRule type="cellIs" dxfId="1545" priority="1772" operator="equal">
      <formula>"Muy Baja"</formula>
    </cfRule>
  </conditionalFormatting>
  <conditionalFormatting sqref="O25">
    <cfRule type="cellIs" dxfId="1544" priority="1763" operator="equal">
      <formula>"Catastrófico"</formula>
    </cfRule>
    <cfRule type="cellIs" dxfId="1543" priority="1764" operator="equal">
      <formula>"Mayor"</formula>
    </cfRule>
    <cfRule type="cellIs" dxfId="1542" priority="1765" operator="equal">
      <formula>"Moderado"</formula>
    </cfRule>
    <cfRule type="cellIs" dxfId="1541" priority="1766" operator="equal">
      <formula>"Menor"</formula>
    </cfRule>
    <cfRule type="cellIs" dxfId="1540" priority="1767" operator="equal">
      <formula>"Leve"</formula>
    </cfRule>
  </conditionalFormatting>
  <conditionalFormatting sqref="Q25">
    <cfRule type="cellIs" dxfId="1539" priority="1759" operator="equal">
      <formula>"Extremo"</formula>
    </cfRule>
    <cfRule type="cellIs" dxfId="1538" priority="1760" operator="equal">
      <formula>"Alto"</formula>
    </cfRule>
    <cfRule type="cellIs" dxfId="1537" priority="1761" operator="equal">
      <formula>"Moderado"</formula>
    </cfRule>
    <cfRule type="cellIs" dxfId="1536" priority="1762" operator="equal">
      <formula>"Bajo"</formula>
    </cfRule>
  </conditionalFormatting>
  <conditionalFormatting sqref="N25:N27">
    <cfRule type="containsText" dxfId="1535" priority="1758" operator="containsText" text="❌">
      <formula>NOT(ISERROR(SEARCH("❌",N25)))</formula>
    </cfRule>
  </conditionalFormatting>
  <conditionalFormatting sqref="K28">
    <cfRule type="cellIs" dxfId="1534" priority="1753" operator="equal">
      <formula>"Muy Alta"</formula>
    </cfRule>
    <cfRule type="cellIs" dxfId="1533" priority="1754" operator="equal">
      <formula>"Alta"</formula>
    </cfRule>
    <cfRule type="cellIs" dxfId="1532" priority="1755" operator="equal">
      <formula>"Media"</formula>
    </cfRule>
    <cfRule type="cellIs" dxfId="1531" priority="1756" operator="equal">
      <formula>"Baja"</formula>
    </cfRule>
    <cfRule type="cellIs" dxfId="1530" priority="1757" operator="equal">
      <formula>"Muy Baja"</formula>
    </cfRule>
  </conditionalFormatting>
  <conditionalFormatting sqref="O28">
    <cfRule type="cellIs" dxfId="1529" priority="1748" operator="equal">
      <formula>"Catastrófico"</formula>
    </cfRule>
    <cfRule type="cellIs" dxfId="1528" priority="1749" operator="equal">
      <formula>"Mayor"</formula>
    </cfRule>
    <cfRule type="cellIs" dxfId="1527" priority="1750" operator="equal">
      <formula>"Moderado"</formula>
    </cfRule>
    <cfRule type="cellIs" dxfId="1526" priority="1751" operator="equal">
      <formula>"Menor"</formula>
    </cfRule>
    <cfRule type="cellIs" dxfId="1525" priority="1752" operator="equal">
      <formula>"Leve"</formula>
    </cfRule>
  </conditionalFormatting>
  <conditionalFormatting sqref="Q28">
    <cfRule type="cellIs" dxfId="1524" priority="1744" operator="equal">
      <formula>"Extremo"</formula>
    </cfRule>
    <cfRule type="cellIs" dxfId="1523" priority="1745" operator="equal">
      <formula>"Alto"</formula>
    </cfRule>
    <cfRule type="cellIs" dxfId="1522" priority="1746" operator="equal">
      <formula>"Moderado"</formula>
    </cfRule>
    <cfRule type="cellIs" dxfId="1521" priority="1747" operator="equal">
      <formula>"Bajo"</formula>
    </cfRule>
  </conditionalFormatting>
  <conditionalFormatting sqref="N28:N30">
    <cfRule type="containsText" dxfId="1520" priority="1743" operator="containsText" text="❌">
      <formula>NOT(ISERROR(SEARCH("❌",N28)))</formula>
    </cfRule>
  </conditionalFormatting>
  <conditionalFormatting sqref="K31">
    <cfRule type="cellIs" dxfId="1519" priority="1738" operator="equal">
      <formula>"Muy Alta"</formula>
    </cfRule>
    <cfRule type="cellIs" dxfId="1518" priority="1739" operator="equal">
      <formula>"Alta"</formula>
    </cfRule>
    <cfRule type="cellIs" dxfId="1517" priority="1740" operator="equal">
      <formula>"Media"</formula>
    </cfRule>
    <cfRule type="cellIs" dxfId="1516" priority="1741" operator="equal">
      <formula>"Baja"</formula>
    </cfRule>
    <cfRule type="cellIs" dxfId="1515" priority="1742" operator="equal">
      <formula>"Muy Baja"</formula>
    </cfRule>
  </conditionalFormatting>
  <conditionalFormatting sqref="O31">
    <cfRule type="cellIs" dxfId="1514" priority="1733" operator="equal">
      <formula>"Catastrófico"</formula>
    </cfRule>
    <cfRule type="cellIs" dxfId="1513" priority="1734" operator="equal">
      <formula>"Mayor"</formula>
    </cfRule>
    <cfRule type="cellIs" dxfId="1512" priority="1735" operator="equal">
      <formula>"Moderado"</formula>
    </cfRule>
    <cfRule type="cellIs" dxfId="1511" priority="1736" operator="equal">
      <formula>"Menor"</formula>
    </cfRule>
    <cfRule type="cellIs" dxfId="1510" priority="1737" operator="equal">
      <formula>"Leve"</formula>
    </cfRule>
  </conditionalFormatting>
  <conditionalFormatting sqref="Q31">
    <cfRule type="cellIs" dxfId="1509" priority="1729" operator="equal">
      <formula>"Extremo"</formula>
    </cfRule>
    <cfRule type="cellIs" dxfId="1508" priority="1730" operator="equal">
      <formula>"Alto"</formula>
    </cfRule>
    <cfRule type="cellIs" dxfId="1507" priority="1731" operator="equal">
      <formula>"Moderado"</formula>
    </cfRule>
    <cfRule type="cellIs" dxfId="1506" priority="1732" operator="equal">
      <formula>"Bajo"</formula>
    </cfRule>
  </conditionalFormatting>
  <conditionalFormatting sqref="N31:N33">
    <cfRule type="containsText" dxfId="1505" priority="1728" operator="containsText" text="❌">
      <formula>NOT(ISERROR(SEARCH("❌",N31)))</formula>
    </cfRule>
  </conditionalFormatting>
  <conditionalFormatting sqref="K34">
    <cfRule type="cellIs" dxfId="1504" priority="1723" operator="equal">
      <formula>"Muy Alta"</formula>
    </cfRule>
    <cfRule type="cellIs" dxfId="1503" priority="1724" operator="equal">
      <formula>"Alta"</formula>
    </cfRule>
    <cfRule type="cellIs" dxfId="1502" priority="1725" operator="equal">
      <formula>"Media"</formula>
    </cfRule>
    <cfRule type="cellIs" dxfId="1501" priority="1726" operator="equal">
      <formula>"Baja"</formula>
    </cfRule>
    <cfRule type="cellIs" dxfId="1500" priority="1727" operator="equal">
      <formula>"Muy Baja"</formula>
    </cfRule>
  </conditionalFormatting>
  <conditionalFormatting sqref="O34">
    <cfRule type="cellIs" dxfId="1499" priority="1718" operator="equal">
      <formula>"Catastrófico"</formula>
    </cfRule>
    <cfRule type="cellIs" dxfId="1498" priority="1719" operator="equal">
      <formula>"Mayor"</formula>
    </cfRule>
    <cfRule type="cellIs" dxfId="1497" priority="1720" operator="equal">
      <formula>"Moderado"</formula>
    </cfRule>
    <cfRule type="cellIs" dxfId="1496" priority="1721" operator="equal">
      <formula>"Menor"</formula>
    </cfRule>
    <cfRule type="cellIs" dxfId="1495" priority="1722" operator="equal">
      <formula>"Leve"</formula>
    </cfRule>
  </conditionalFormatting>
  <conditionalFormatting sqref="Q34">
    <cfRule type="cellIs" dxfId="1494" priority="1714" operator="equal">
      <formula>"Extremo"</formula>
    </cfRule>
    <cfRule type="cellIs" dxfId="1493" priority="1715" operator="equal">
      <formula>"Alto"</formula>
    </cfRule>
    <cfRule type="cellIs" dxfId="1492" priority="1716" operator="equal">
      <formula>"Moderado"</formula>
    </cfRule>
    <cfRule type="cellIs" dxfId="1491" priority="1717" operator="equal">
      <formula>"Bajo"</formula>
    </cfRule>
  </conditionalFormatting>
  <conditionalFormatting sqref="N34:N36">
    <cfRule type="containsText" dxfId="1490" priority="1713" operator="containsText" text="❌">
      <formula>NOT(ISERROR(SEARCH("❌",N34)))</formula>
    </cfRule>
  </conditionalFormatting>
  <conditionalFormatting sqref="K37">
    <cfRule type="cellIs" dxfId="1489" priority="1708" operator="equal">
      <formula>"Muy Alta"</formula>
    </cfRule>
    <cfRule type="cellIs" dxfId="1488" priority="1709" operator="equal">
      <formula>"Alta"</formula>
    </cfRule>
    <cfRule type="cellIs" dxfId="1487" priority="1710" operator="equal">
      <formula>"Media"</formula>
    </cfRule>
    <cfRule type="cellIs" dxfId="1486" priority="1711" operator="equal">
      <formula>"Baja"</formula>
    </cfRule>
    <cfRule type="cellIs" dxfId="1485" priority="1712" operator="equal">
      <formula>"Muy Baja"</formula>
    </cfRule>
  </conditionalFormatting>
  <conditionalFormatting sqref="O37">
    <cfRule type="cellIs" dxfId="1484" priority="1703" operator="equal">
      <formula>"Catastrófico"</formula>
    </cfRule>
    <cfRule type="cellIs" dxfId="1483" priority="1704" operator="equal">
      <formula>"Mayor"</formula>
    </cfRule>
    <cfRule type="cellIs" dxfId="1482" priority="1705" operator="equal">
      <formula>"Moderado"</formula>
    </cfRule>
    <cfRule type="cellIs" dxfId="1481" priority="1706" operator="equal">
      <formula>"Menor"</formula>
    </cfRule>
    <cfRule type="cellIs" dxfId="1480" priority="1707" operator="equal">
      <formula>"Leve"</formula>
    </cfRule>
  </conditionalFormatting>
  <conditionalFormatting sqref="Q37">
    <cfRule type="cellIs" dxfId="1479" priority="1699" operator="equal">
      <formula>"Extremo"</formula>
    </cfRule>
    <cfRule type="cellIs" dxfId="1478" priority="1700" operator="equal">
      <formula>"Alto"</formula>
    </cfRule>
    <cfRule type="cellIs" dxfId="1477" priority="1701" operator="equal">
      <formula>"Moderado"</formula>
    </cfRule>
    <cfRule type="cellIs" dxfId="1476" priority="1702" operator="equal">
      <formula>"Bajo"</formula>
    </cfRule>
  </conditionalFormatting>
  <conditionalFormatting sqref="N37:N39">
    <cfRule type="containsText" dxfId="1475" priority="1698" operator="containsText" text="❌">
      <formula>NOT(ISERROR(SEARCH("❌",N37)))</formula>
    </cfRule>
  </conditionalFormatting>
  <conditionalFormatting sqref="K40">
    <cfRule type="cellIs" dxfId="1474" priority="1693" operator="equal">
      <formula>"Muy Alta"</formula>
    </cfRule>
    <cfRule type="cellIs" dxfId="1473" priority="1694" operator="equal">
      <formula>"Alta"</formula>
    </cfRule>
    <cfRule type="cellIs" dxfId="1472" priority="1695" operator="equal">
      <formula>"Media"</formula>
    </cfRule>
    <cfRule type="cellIs" dxfId="1471" priority="1696" operator="equal">
      <formula>"Baja"</formula>
    </cfRule>
    <cfRule type="cellIs" dxfId="1470" priority="1697" operator="equal">
      <formula>"Muy Baja"</formula>
    </cfRule>
  </conditionalFormatting>
  <conditionalFormatting sqref="O40">
    <cfRule type="cellIs" dxfId="1469" priority="1688" operator="equal">
      <formula>"Catastrófico"</formula>
    </cfRule>
    <cfRule type="cellIs" dxfId="1468" priority="1689" operator="equal">
      <formula>"Mayor"</formula>
    </cfRule>
    <cfRule type="cellIs" dxfId="1467" priority="1690" operator="equal">
      <formula>"Moderado"</formula>
    </cfRule>
    <cfRule type="cellIs" dxfId="1466" priority="1691" operator="equal">
      <formula>"Menor"</formula>
    </cfRule>
    <cfRule type="cellIs" dxfId="1465" priority="1692" operator="equal">
      <formula>"Leve"</formula>
    </cfRule>
  </conditionalFormatting>
  <conditionalFormatting sqref="Q40">
    <cfRule type="cellIs" dxfId="1464" priority="1684" operator="equal">
      <formula>"Extremo"</formula>
    </cfRule>
    <cfRule type="cellIs" dxfId="1463" priority="1685" operator="equal">
      <formula>"Alto"</formula>
    </cfRule>
    <cfRule type="cellIs" dxfId="1462" priority="1686" operator="equal">
      <formula>"Moderado"</formula>
    </cfRule>
    <cfRule type="cellIs" dxfId="1461" priority="1687" operator="equal">
      <formula>"Bajo"</formula>
    </cfRule>
  </conditionalFormatting>
  <conditionalFormatting sqref="N40:N42">
    <cfRule type="containsText" dxfId="1460" priority="1683" operator="containsText" text="❌">
      <formula>NOT(ISERROR(SEARCH("❌",N40)))</formula>
    </cfRule>
  </conditionalFormatting>
  <conditionalFormatting sqref="K43">
    <cfRule type="cellIs" dxfId="1459" priority="1663" operator="equal">
      <formula>"Muy Alta"</formula>
    </cfRule>
    <cfRule type="cellIs" dxfId="1458" priority="1664" operator="equal">
      <formula>"Alta"</formula>
    </cfRule>
    <cfRule type="cellIs" dxfId="1457" priority="1665" operator="equal">
      <formula>"Media"</formula>
    </cfRule>
    <cfRule type="cellIs" dxfId="1456" priority="1666" operator="equal">
      <formula>"Baja"</formula>
    </cfRule>
    <cfRule type="cellIs" dxfId="1455" priority="1667" operator="equal">
      <formula>"Muy Baja"</formula>
    </cfRule>
  </conditionalFormatting>
  <conditionalFormatting sqref="O43">
    <cfRule type="cellIs" dxfId="1454" priority="1658" operator="equal">
      <formula>"Catastrófico"</formula>
    </cfRule>
    <cfRule type="cellIs" dxfId="1453" priority="1659" operator="equal">
      <formula>"Mayor"</formula>
    </cfRule>
    <cfRule type="cellIs" dxfId="1452" priority="1660" operator="equal">
      <formula>"Moderado"</formula>
    </cfRule>
    <cfRule type="cellIs" dxfId="1451" priority="1661" operator="equal">
      <formula>"Menor"</formula>
    </cfRule>
    <cfRule type="cellIs" dxfId="1450" priority="1662" operator="equal">
      <formula>"Leve"</formula>
    </cfRule>
  </conditionalFormatting>
  <conditionalFormatting sqref="Q43">
    <cfRule type="cellIs" dxfId="1449" priority="1654" operator="equal">
      <formula>"Extremo"</formula>
    </cfRule>
    <cfRule type="cellIs" dxfId="1448" priority="1655" operator="equal">
      <formula>"Alto"</formula>
    </cfRule>
    <cfRule type="cellIs" dxfId="1447" priority="1656" operator="equal">
      <formula>"Moderado"</formula>
    </cfRule>
    <cfRule type="cellIs" dxfId="1446" priority="1657" operator="equal">
      <formula>"Bajo"</formula>
    </cfRule>
  </conditionalFormatting>
  <conditionalFormatting sqref="N43:N45">
    <cfRule type="containsText" dxfId="1445" priority="1653" operator="containsText" text="❌">
      <formula>NOT(ISERROR(SEARCH("❌",N43)))</formula>
    </cfRule>
  </conditionalFormatting>
  <conditionalFormatting sqref="K46">
    <cfRule type="cellIs" dxfId="1444" priority="1648" operator="equal">
      <formula>"Muy Alta"</formula>
    </cfRule>
    <cfRule type="cellIs" dxfId="1443" priority="1649" operator="equal">
      <formula>"Alta"</formula>
    </cfRule>
    <cfRule type="cellIs" dxfId="1442" priority="1650" operator="equal">
      <formula>"Media"</formula>
    </cfRule>
    <cfRule type="cellIs" dxfId="1441" priority="1651" operator="equal">
      <formula>"Baja"</formula>
    </cfRule>
    <cfRule type="cellIs" dxfId="1440" priority="1652" operator="equal">
      <formula>"Muy Baja"</formula>
    </cfRule>
  </conditionalFormatting>
  <conditionalFormatting sqref="O46">
    <cfRule type="cellIs" dxfId="1439" priority="1643" operator="equal">
      <formula>"Catastrófico"</formula>
    </cfRule>
    <cfRule type="cellIs" dxfId="1438" priority="1644" operator="equal">
      <formula>"Mayor"</formula>
    </cfRule>
    <cfRule type="cellIs" dxfId="1437" priority="1645" operator="equal">
      <formula>"Moderado"</formula>
    </cfRule>
    <cfRule type="cellIs" dxfId="1436" priority="1646" operator="equal">
      <formula>"Menor"</formula>
    </cfRule>
    <cfRule type="cellIs" dxfId="1435" priority="1647" operator="equal">
      <formula>"Leve"</formula>
    </cfRule>
  </conditionalFormatting>
  <conditionalFormatting sqref="Q46">
    <cfRule type="cellIs" dxfId="1434" priority="1639" operator="equal">
      <formula>"Extremo"</formula>
    </cfRule>
    <cfRule type="cellIs" dxfId="1433" priority="1640" operator="equal">
      <formula>"Alto"</formula>
    </cfRule>
    <cfRule type="cellIs" dxfId="1432" priority="1641" operator="equal">
      <formula>"Moderado"</formula>
    </cfRule>
    <cfRule type="cellIs" dxfId="1431" priority="1642" operator="equal">
      <formula>"Bajo"</formula>
    </cfRule>
  </conditionalFormatting>
  <conditionalFormatting sqref="N46:N48">
    <cfRule type="containsText" dxfId="1430" priority="1638" operator="containsText" text="❌">
      <formula>NOT(ISERROR(SEARCH("❌",N46)))</formula>
    </cfRule>
  </conditionalFormatting>
  <conditionalFormatting sqref="K49">
    <cfRule type="cellIs" dxfId="1429" priority="1633" operator="equal">
      <formula>"Muy Alta"</formula>
    </cfRule>
    <cfRule type="cellIs" dxfId="1428" priority="1634" operator="equal">
      <formula>"Alta"</formula>
    </cfRule>
    <cfRule type="cellIs" dxfId="1427" priority="1635" operator="equal">
      <formula>"Media"</formula>
    </cfRule>
    <cfRule type="cellIs" dxfId="1426" priority="1636" operator="equal">
      <formula>"Baja"</formula>
    </cfRule>
    <cfRule type="cellIs" dxfId="1425" priority="1637" operator="equal">
      <formula>"Muy Baja"</formula>
    </cfRule>
  </conditionalFormatting>
  <conditionalFormatting sqref="O49">
    <cfRule type="cellIs" dxfId="1424" priority="1628" operator="equal">
      <formula>"Catastrófico"</formula>
    </cfRule>
    <cfRule type="cellIs" dxfId="1423" priority="1629" operator="equal">
      <formula>"Mayor"</formula>
    </cfRule>
    <cfRule type="cellIs" dxfId="1422" priority="1630" operator="equal">
      <formula>"Moderado"</formula>
    </cfRule>
    <cfRule type="cellIs" dxfId="1421" priority="1631" operator="equal">
      <formula>"Menor"</formula>
    </cfRule>
    <cfRule type="cellIs" dxfId="1420" priority="1632" operator="equal">
      <formula>"Leve"</formula>
    </cfRule>
  </conditionalFormatting>
  <conditionalFormatting sqref="Q49">
    <cfRule type="cellIs" dxfId="1419" priority="1624" operator="equal">
      <formula>"Extremo"</formula>
    </cfRule>
    <cfRule type="cellIs" dxfId="1418" priority="1625" operator="equal">
      <formula>"Alto"</formula>
    </cfRule>
    <cfRule type="cellIs" dxfId="1417" priority="1626" operator="equal">
      <formula>"Moderado"</formula>
    </cfRule>
    <cfRule type="cellIs" dxfId="1416" priority="1627" operator="equal">
      <formula>"Bajo"</formula>
    </cfRule>
  </conditionalFormatting>
  <conditionalFormatting sqref="N49:N51">
    <cfRule type="containsText" dxfId="1415" priority="1623" operator="containsText" text="❌">
      <formula>NOT(ISERROR(SEARCH("❌",N49)))</formula>
    </cfRule>
  </conditionalFormatting>
  <conditionalFormatting sqref="K52">
    <cfRule type="cellIs" dxfId="1414" priority="1618" operator="equal">
      <formula>"Muy Alta"</formula>
    </cfRule>
    <cfRule type="cellIs" dxfId="1413" priority="1619" operator="equal">
      <formula>"Alta"</formula>
    </cfRule>
    <cfRule type="cellIs" dxfId="1412" priority="1620" operator="equal">
      <formula>"Media"</formula>
    </cfRule>
    <cfRule type="cellIs" dxfId="1411" priority="1621" operator="equal">
      <formula>"Baja"</formula>
    </cfRule>
    <cfRule type="cellIs" dxfId="1410" priority="1622" operator="equal">
      <formula>"Muy Baja"</formula>
    </cfRule>
  </conditionalFormatting>
  <conditionalFormatting sqref="O52">
    <cfRule type="cellIs" dxfId="1409" priority="1613" operator="equal">
      <formula>"Catastrófico"</formula>
    </cfRule>
    <cfRule type="cellIs" dxfId="1408" priority="1614" operator="equal">
      <formula>"Mayor"</formula>
    </cfRule>
    <cfRule type="cellIs" dxfId="1407" priority="1615" operator="equal">
      <formula>"Moderado"</formula>
    </cfRule>
    <cfRule type="cellIs" dxfId="1406" priority="1616" operator="equal">
      <formula>"Menor"</formula>
    </cfRule>
    <cfRule type="cellIs" dxfId="1405" priority="1617" operator="equal">
      <formula>"Leve"</formula>
    </cfRule>
  </conditionalFormatting>
  <conditionalFormatting sqref="Q52">
    <cfRule type="cellIs" dxfId="1404" priority="1609" operator="equal">
      <formula>"Extremo"</formula>
    </cfRule>
    <cfRule type="cellIs" dxfId="1403" priority="1610" operator="equal">
      <formula>"Alto"</formula>
    </cfRule>
    <cfRule type="cellIs" dxfId="1402" priority="1611" operator="equal">
      <formula>"Moderado"</formula>
    </cfRule>
    <cfRule type="cellIs" dxfId="1401" priority="1612" operator="equal">
      <formula>"Bajo"</formula>
    </cfRule>
  </conditionalFormatting>
  <conditionalFormatting sqref="N52:N54">
    <cfRule type="containsText" dxfId="1400" priority="1608" operator="containsText" text="❌">
      <formula>NOT(ISERROR(SEARCH("❌",N52)))</formula>
    </cfRule>
  </conditionalFormatting>
  <conditionalFormatting sqref="K55">
    <cfRule type="cellIs" dxfId="1399" priority="1603" operator="equal">
      <formula>"Muy Alta"</formula>
    </cfRule>
    <cfRule type="cellIs" dxfId="1398" priority="1604" operator="equal">
      <formula>"Alta"</formula>
    </cfRule>
    <cfRule type="cellIs" dxfId="1397" priority="1605" operator="equal">
      <formula>"Media"</formula>
    </cfRule>
    <cfRule type="cellIs" dxfId="1396" priority="1606" operator="equal">
      <formula>"Baja"</formula>
    </cfRule>
    <cfRule type="cellIs" dxfId="1395" priority="1607" operator="equal">
      <formula>"Muy Baja"</formula>
    </cfRule>
  </conditionalFormatting>
  <conditionalFormatting sqref="O55">
    <cfRule type="cellIs" dxfId="1394" priority="1598" operator="equal">
      <formula>"Catastrófico"</formula>
    </cfRule>
    <cfRule type="cellIs" dxfId="1393" priority="1599" operator="equal">
      <formula>"Mayor"</formula>
    </cfRule>
    <cfRule type="cellIs" dxfId="1392" priority="1600" operator="equal">
      <formula>"Moderado"</formula>
    </cfRule>
    <cfRule type="cellIs" dxfId="1391" priority="1601" operator="equal">
      <formula>"Menor"</formula>
    </cfRule>
    <cfRule type="cellIs" dxfId="1390" priority="1602" operator="equal">
      <formula>"Leve"</formula>
    </cfRule>
  </conditionalFormatting>
  <conditionalFormatting sqref="Q55">
    <cfRule type="cellIs" dxfId="1389" priority="1594" operator="equal">
      <formula>"Extremo"</formula>
    </cfRule>
    <cfRule type="cellIs" dxfId="1388" priority="1595" operator="equal">
      <formula>"Alto"</formula>
    </cfRule>
    <cfRule type="cellIs" dxfId="1387" priority="1596" operator="equal">
      <formula>"Moderado"</formula>
    </cfRule>
    <cfRule type="cellIs" dxfId="1386" priority="1597" operator="equal">
      <formula>"Bajo"</formula>
    </cfRule>
  </conditionalFormatting>
  <conditionalFormatting sqref="N55:N57">
    <cfRule type="containsText" dxfId="1385" priority="1593" operator="containsText" text="❌">
      <formula>NOT(ISERROR(SEARCH("❌",N55)))</formula>
    </cfRule>
  </conditionalFormatting>
  <conditionalFormatting sqref="K58">
    <cfRule type="cellIs" dxfId="1384" priority="1588" operator="equal">
      <formula>"Muy Alta"</formula>
    </cfRule>
    <cfRule type="cellIs" dxfId="1383" priority="1589" operator="equal">
      <formula>"Alta"</formula>
    </cfRule>
    <cfRule type="cellIs" dxfId="1382" priority="1590" operator="equal">
      <formula>"Media"</formula>
    </cfRule>
    <cfRule type="cellIs" dxfId="1381" priority="1591" operator="equal">
      <formula>"Baja"</formula>
    </cfRule>
    <cfRule type="cellIs" dxfId="1380" priority="1592" operator="equal">
      <formula>"Muy Baja"</formula>
    </cfRule>
  </conditionalFormatting>
  <conditionalFormatting sqref="O58">
    <cfRule type="cellIs" dxfId="1379" priority="1583" operator="equal">
      <formula>"Catastrófico"</formula>
    </cfRule>
    <cfRule type="cellIs" dxfId="1378" priority="1584" operator="equal">
      <formula>"Mayor"</formula>
    </cfRule>
    <cfRule type="cellIs" dxfId="1377" priority="1585" operator="equal">
      <formula>"Moderado"</formula>
    </cfRule>
    <cfRule type="cellIs" dxfId="1376" priority="1586" operator="equal">
      <formula>"Menor"</formula>
    </cfRule>
    <cfRule type="cellIs" dxfId="1375" priority="1587" operator="equal">
      <formula>"Leve"</formula>
    </cfRule>
  </conditionalFormatting>
  <conditionalFormatting sqref="Q58">
    <cfRule type="cellIs" dxfId="1374" priority="1579" operator="equal">
      <formula>"Extremo"</formula>
    </cfRule>
    <cfRule type="cellIs" dxfId="1373" priority="1580" operator="equal">
      <formula>"Alto"</formula>
    </cfRule>
    <cfRule type="cellIs" dxfId="1372" priority="1581" operator="equal">
      <formula>"Moderado"</formula>
    </cfRule>
    <cfRule type="cellIs" dxfId="1371" priority="1582" operator="equal">
      <formula>"Bajo"</formula>
    </cfRule>
  </conditionalFormatting>
  <conditionalFormatting sqref="N58:N60">
    <cfRule type="containsText" dxfId="1370" priority="1578" operator="containsText" text="❌">
      <formula>NOT(ISERROR(SEARCH("❌",N58)))</formula>
    </cfRule>
  </conditionalFormatting>
  <conditionalFormatting sqref="K61">
    <cfRule type="cellIs" dxfId="1369" priority="1573" operator="equal">
      <formula>"Muy Alta"</formula>
    </cfRule>
    <cfRule type="cellIs" dxfId="1368" priority="1574" operator="equal">
      <formula>"Alta"</formula>
    </cfRule>
    <cfRule type="cellIs" dxfId="1367" priority="1575" operator="equal">
      <formula>"Media"</formula>
    </cfRule>
    <cfRule type="cellIs" dxfId="1366" priority="1576" operator="equal">
      <formula>"Baja"</formula>
    </cfRule>
    <cfRule type="cellIs" dxfId="1365" priority="1577" operator="equal">
      <formula>"Muy Baja"</formula>
    </cfRule>
  </conditionalFormatting>
  <conditionalFormatting sqref="O61">
    <cfRule type="cellIs" dxfId="1364" priority="1568" operator="equal">
      <formula>"Catastrófico"</formula>
    </cfRule>
    <cfRule type="cellIs" dxfId="1363" priority="1569" operator="equal">
      <formula>"Mayor"</formula>
    </cfRule>
    <cfRule type="cellIs" dxfId="1362" priority="1570" operator="equal">
      <formula>"Moderado"</formula>
    </cfRule>
    <cfRule type="cellIs" dxfId="1361" priority="1571" operator="equal">
      <formula>"Menor"</formula>
    </cfRule>
    <cfRule type="cellIs" dxfId="1360" priority="1572" operator="equal">
      <formula>"Leve"</formula>
    </cfRule>
  </conditionalFormatting>
  <conditionalFormatting sqref="Q61">
    <cfRule type="cellIs" dxfId="1359" priority="1564" operator="equal">
      <formula>"Extremo"</formula>
    </cfRule>
    <cfRule type="cellIs" dxfId="1358" priority="1565" operator="equal">
      <formula>"Alto"</formula>
    </cfRule>
    <cfRule type="cellIs" dxfId="1357" priority="1566" operator="equal">
      <formula>"Moderado"</formula>
    </cfRule>
    <cfRule type="cellIs" dxfId="1356" priority="1567" operator="equal">
      <formula>"Bajo"</formula>
    </cfRule>
  </conditionalFormatting>
  <conditionalFormatting sqref="N61:N63">
    <cfRule type="containsText" dxfId="1355" priority="1563" operator="containsText" text="❌">
      <formula>NOT(ISERROR(SEARCH("❌",N61)))</formula>
    </cfRule>
  </conditionalFormatting>
  <conditionalFormatting sqref="K64">
    <cfRule type="cellIs" dxfId="1354" priority="1558" operator="equal">
      <formula>"Muy Alta"</formula>
    </cfRule>
    <cfRule type="cellIs" dxfId="1353" priority="1559" operator="equal">
      <formula>"Alta"</formula>
    </cfRule>
    <cfRule type="cellIs" dxfId="1352" priority="1560" operator="equal">
      <formula>"Media"</formula>
    </cfRule>
    <cfRule type="cellIs" dxfId="1351" priority="1561" operator="equal">
      <formula>"Baja"</formula>
    </cfRule>
    <cfRule type="cellIs" dxfId="1350" priority="1562" operator="equal">
      <formula>"Muy Baja"</formula>
    </cfRule>
  </conditionalFormatting>
  <conditionalFormatting sqref="O64">
    <cfRule type="cellIs" dxfId="1349" priority="1553" operator="equal">
      <formula>"Catastrófico"</formula>
    </cfRule>
    <cfRule type="cellIs" dxfId="1348" priority="1554" operator="equal">
      <formula>"Mayor"</formula>
    </cfRule>
    <cfRule type="cellIs" dxfId="1347" priority="1555" operator="equal">
      <formula>"Moderado"</formula>
    </cfRule>
    <cfRule type="cellIs" dxfId="1346" priority="1556" operator="equal">
      <formula>"Menor"</formula>
    </cfRule>
    <cfRule type="cellIs" dxfId="1345" priority="1557" operator="equal">
      <formula>"Leve"</formula>
    </cfRule>
  </conditionalFormatting>
  <conditionalFormatting sqref="Q64">
    <cfRule type="cellIs" dxfId="1344" priority="1549" operator="equal">
      <formula>"Extremo"</formula>
    </cfRule>
    <cfRule type="cellIs" dxfId="1343" priority="1550" operator="equal">
      <formula>"Alto"</formula>
    </cfRule>
    <cfRule type="cellIs" dxfId="1342" priority="1551" operator="equal">
      <formula>"Moderado"</formula>
    </cfRule>
    <cfRule type="cellIs" dxfId="1341" priority="1552" operator="equal">
      <formula>"Bajo"</formula>
    </cfRule>
  </conditionalFormatting>
  <conditionalFormatting sqref="N64:N66">
    <cfRule type="containsText" dxfId="1340" priority="1548" operator="containsText" text="❌">
      <formula>NOT(ISERROR(SEARCH("❌",N64)))</formula>
    </cfRule>
  </conditionalFormatting>
  <conditionalFormatting sqref="K67">
    <cfRule type="cellIs" dxfId="1339" priority="1543" operator="equal">
      <formula>"Muy Alta"</formula>
    </cfRule>
    <cfRule type="cellIs" dxfId="1338" priority="1544" operator="equal">
      <formula>"Alta"</formula>
    </cfRule>
    <cfRule type="cellIs" dxfId="1337" priority="1545" operator="equal">
      <formula>"Media"</formula>
    </cfRule>
    <cfRule type="cellIs" dxfId="1336" priority="1546" operator="equal">
      <formula>"Baja"</formula>
    </cfRule>
    <cfRule type="cellIs" dxfId="1335" priority="1547" operator="equal">
      <formula>"Muy Baja"</formula>
    </cfRule>
  </conditionalFormatting>
  <conditionalFormatting sqref="O67">
    <cfRule type="cellIs" dxfId="1334" priority="1538" operator="equal">
      <formula>"Catastrófico"</formula>
    </cfRule>
    <cfRule type="cellIs" dxfId="1333" priority="1539" operator="equal">
      <formula>"Mayor"</formula>
    </cfRule>
    <cfRule type="cellIs" dxfId="1332" priority="1540" operator="equal">
      <formula>"Moderado"</formula>
    </cfRule>
    <cfRule type="cellIs" dxfId="1331" priority="1541" operator="equal">
      <formula>"Menor"</formula>
    </cfRule>
    <cfRule type="cellIs" dxfId="1330" priority="1542" operator="equal">
      <formula>"Leve"</formula>
    </cfRule>
  </conditionalFormatting>
  <conditionalFormatting sqref="Q67">
    <cfRule type="cellIs" dxfId="1329" priority="1534" operator="equal">
      <formula>"Extremo"</formula>
    </cfRule>
    <cfRule type="cellIs" dxfId="1328" priority="1535" operator="equal">
      <formula>"Alto"</formula>
    </cfRule>
    <cfRule type="cellIs" dxfId="1327" priority="1536" operator="equal">
      <formula>"Moderado"</formula>
    </cfRule>
    <cfRule type="cellIs" dxfId="1326" priority="1537" operator="equal">
      <formula>"Bajo"</formula>
    </cfRule>
  </conditionalFormatting>
  <conditionalFormatting sqref="N67:N69">
    <cfRule type="containsText" dxfId="1325" priority="1533" operator="containsText" text="❌">
      <formula>NOT(ISERROR(SEARCH("❌",N67)))</formula>
    </cfRule>
  </conditionalFormatting>
  <conditionalFormatting sqref="K73">
    <cfRule type="cellIs" dxfId="1324" priority="1528" operator="equal">
      <formula>"Muy Alta"</formula>
    </cfRule>
    <cfRule type="cellIs" dxfId="1323" priority="1529" operator="equal">
      <formula>"Alta"</formula>
    </cfRule>
    <cfRule type="cellIs" dxfId="1322" priority="1530" operator="equal">
      <formula>"Media"</formula>
    </cfRule>
    <cfRule type="cellIs" dxfId="1321" priority="1531" operator="equal">
      <formula>"Baja"</formula>
    </cfRule>
    <cfRule type="cellIs" dxfId="1320" priority="1532" operator="equal">
      <formula>"Muy Baja"</formula>
    </cfRule>
  </conditionalFormatting>
  <conditionalFormatting sqref="O73">
    <cfRule type="cellIs" dxfId="1319" priority="1523" operator="equal">
      <formula>"Catastrófico"</formula>
    </cfRule>
    <cfRule type="cellIs" dxfId="1318" priority="1524" operator="equal">
      <formula>"Mayor"</formula>
    </cfRule>
    <cfRule type="cellIs" dxfId="1317" priority="1525" operator="equal">
      <formula>"Moderado"</formula>
    </cfRule>
    <cfRule type="cellIs" dxfId="1316" priority="1526" operator="equal">
      <formula>"Menor"</formula>
    </cfRule>
    <cfRule type="cellIs" dxfId="1315" priority="1527" operator="equal">
      <formula>"Leve"</formula>
    </cfRule>
  </conditionalFormatting>
  <conditionalFormatting sqref="Q73">
    <cfRule type="cellIs" dxfId="1314" priority="1519" operator="equal">
      <formula>"Extremo"</formula>
    </cfRule>
    <cfRule type="cellIs" dxfId="1313" priority="1520" operator="equal">
      <formula>"Alto"</formula>
    </cfRule>
    <cfRule type="cellIs" dxfId="1312" priority="1521" operator="equal">
      <formula>"Moderado"</formula>
    </cfRule>
    <cfRule type="cellIs" dxfId="1311" priority="1522" operator="equal">
      <formula>"Bajo"</formula>
    </cfRule>
  </conditionalFormatting>
  <conditionalFormatting sqref="N73:N75">
    <cfRule type="containsText" dxfId="1310" priority="1518" operator="containsText" text="❌">
      <formula>NOT(ISERROR(SEARCH("❌",N73)))</formula>
    </cfRule>
  </conditionalFormatting>
  <conditionalFormatting sqref="K76">
    <cfRule type="cellIs" dxfId="1309" priority="1513" operator="equal">
      <formula>"Muy Alta"</formula>
    </cfRule>
    <cfRule type="cellIs" dxfId="1308" priority="1514" operator="equal">
      <formula>"Alta"</formula>
    </cfRule>
    <cfRule type="cellIs" dxfId="1307" priority="1515" operator="equal">
      <formula>"Media"</formula>
    </cfRule>
    <cfRule type="cellIs" dxfId="1306" priority="1516" operator="equal">
      <formula>"Baja"</formula>
    </cfRule>
    <cfRule type="cellIs" dxfId="1305" priority="1517" operator="equal">
      <formula>"Muy Baja"</formula>
    </cfRule>
  </conditionalFormatting>
  <conditionalFormatting sqref="O76">
    <cfRule type="cellIs" dxfId="1304" priority="1508" operator="equal">
      <formula>"Catastrófico"</formula>
    </cfRule>
    <cfRule type="cellIs" dxfId="1303" priority="1509" operator="equal">
      <formula>"Mayor"</formula>
    </cfRule>
    <cfRule type="cellIs" dxfId="1302" priority="1510" operator="equal">
      <formula>"Moderado"</formula>
    </cfRule>
    <cfRule type="cellIs" dxfId="1301" priority="1511" operator="equal">
      <formula>"Menor"</formula>
    </cfRule>
    <cfRule type="cellIs" dxfId="1300" priority="1512" operator="equal">
      <formula>"Leve"</formula>
    </cfRule>
  </conditionalFormatting>
  <conditionalFormatting sqref="Q76">
    <cfRule type="cellIs" dxfId="1299" priority="1504" operator="equal">
      <formula>"Extremo"</formula>
    </cfRule>
    <cfRule type="cellIs" dxfId="1298" priority="1505" operator="equal">
      <formula>"Alto"</formula>
    </cfRule>
    <cfRule type="cellIs" dxfId="1297" priority="1506" operator="equal">
      <formula>"Moderado"</formula>
    </cfRule>
    <cfRule type="cellIs" dxfId="1296" priority="1507" operator="equal">
      <formula>"Bajo"</formula>
    </cfRule>
  </conditionalFormatting>
  <conditionalFormatting sqref="N76:N78">
    <cfRule type="containsText" dxfId="1295" priority="1503" operator="containsText" text="❌">
      <formula>NOT(ISERROR(SEARCH("❌",N76)))</formula>
    </cfRule>
  </conditionalFormatting>
  <conditionalFormatting sqref="K79">
    <cfRule type="cellIs" dxfId="1294" priority="1498" operator="equal">
      <formula>"Muy Alta"</formula>
    </cfRule>
    <cfRule type="cellIs" dxfId="1293" priority="1499" operator="equal">
      <formula>"Alta"</formula>
    </cfRule>
    <cfRule type="cellIs" dxfId="1292" priority="1500" operator="equal">
      <formula>"Media"</formula>
    </cfRule>
    <cfRule type="cellIs" dxfId="1291" priority="1501" operator="equal">
      <formula>"Baja"</formula>
    </cfRule>
    <cfRule type="cellIs" dxfId="1290" priority="1502" operator="equal">
      <formula>"Muy Baja"</formula>
    </cfRule>
  </conditionalFormatting>
  <conditionalFormatting sqref="O79">
    <cfRule type="cellIs" dxfId="1289" priority="1493" operator="equal">
      <formula>"Catastrófico"</formula>
    </cfRule>
    <cfRule type="cellIs" dxfId="1288" priority="1494" operator="equal">
      <formula>"Mayor"</formula>
    </cfRule>
    <cfRule type="cellIs" dxfId="1287" priority="1495" operator="equal">
      <formula>"Moderado"</formula>
    </cfRule>
    <cfRule type="cellIs" dxfId="1286" priority="1496" operator="equal">
      <formula>"Menor"</formula>
    </cfRule>
    <cfRule type="cellIs" dxfId="1285" priority="1497" operator="equal">
      <formula>"Leve"</formula>
    </cfRule>
  </conditionalFormatting>
  <conditionalFormatting sqref="Q79">
    <cfRule type="cellIs" dxfId="1284" priority="1489" operator="equal">
      <formula>"Extremo"</formula>
    </cfRule>
    <cfRule type="cellIs" dxfId="1283" priority="1490" operator="equal">
      <formula>"Alto"</formula>
    </cfRule>
    <cfRule type="cellIs" dxfId="1282" priority="1491" operator="equal">
      <formula>"Moderado"</formula>
    </cfRule>
    <cfRule type="cellIs" dxfId="1281" priority="1492" operator="equal">
      <formula>"Bajo"</formula>
    </cfRule>
  </conditionalFormatting>
  <conditionalFormatting sqref="N79:N81">
    <cfRule type="containsText" dxfId="1280" priority="1488" operator="containsText" text="❌">
      <formula>NOT(ISERROR(SEARCH("❌",N79)))</formula>
    </cfRule>
  </conditionalFormatting>
  <conditionalFormatting sqref="O82">
    <cfRule type="cellIs" dxfId="1279" priority="1478" operator="equal">
      <formula>"Catastrófico"</formula>
    </cfRule>
    <cfRule type="cellIs" dxfId="1278" priority="1479" operator="equal">
      <formula>"Mayor"</formula>
    </cfRule>
    <cfRule type="cellIs" dxfId="1277" priority="1480" operator="equal">
      <formula>"Moderado"</formula>
    </cfRule>
    <cfRule type="cellIs" dxfId="1276" priority="1481" operator="equal">
      <formula>"Menor"</formula>
    </cfRule>
    <cfRule type="cellIs" dxfId="1275" priority="1482" operator="equal">
      <formula>"Leve"</formula>
    </cfRule>
  </conditionalFormatting>
  <conditionalFormatting sqref="Q82">
    <cfRule type="cellIs" dxfId="1274" priority="1474" operator="equal">
      <formula>"Extremo"</formula>
    </cfRule>
    <cfRule type="cellIs" dxfId="1273" priority="1475" operator="equal">
      <formula>"Alto"</formula>
    </cfRule>
    <cfRule type="cellIs" dxfId="1272" priority="1476" operator="equal">
      <formula>"Moderado"</formula>
    </cfRule>
    <cfRule type="cellIs" dxfId="1271" priority="1477" operator="equal">
      <formula>"Bajo"</formula>
    </cfRule>
  </conditionalFormatting>
  <conditionalFormatting sqref="N82:N84">
    <cfRule type="containsText" dxfId="1270" priority="1473" operator="containsText" text="❌">
      <formula>NOT(ISERROR(SEARCH("❌",N82)))</formula>
    </cfRule>
  </conditionalFormatting>
  <conditionalFormatting sqref="K88">
    <cfRule type="cellIs" dxfId="1269" priority="1468" operator="equal">
      <formula>"Muy Alta"</formula>
    </cfRule>
    <cfRule type="cellIs" dxfId="1268" priority="1469" operator="equal">
      <formula>"Alta"</formula>
    </cfRule>
    <cfRule type="cellIs" dxfId="1267" priority="1470" operator="equal">
      <formula>"Media"</formula>
    </cfRule>
    <cfRule type="cellIs" dxfId="1266" priority="1471" operator="equal">
      <formula>"Baja"</formula>
    </cfRule>
    <cfRule type="cellIs" dxfId="1265" priority="1472" operator="equal">
      <formula>"Muy Baja"</formula>
    </cfRule>
  </conditionalFormatting>
  <conditionalFormatting sqref="O88">
    <cfRule type="cellIs" dxfId="1264" priority="1463" operator="equal">
      <formula>"Catastrófico"</formula>
    </cfRule>
    <cfRule type="cellIs" dxfId="1263" priority="1464" operator="equal">
      <formula>"Mayor"</formula>
    </cfRule>
    <cfRule type="cellIs" dxfId="1262" priority="1465" operator="equal">
      <formula>"Moderado"</formula>
    </cfRule>
    <cfRule type="cellIs" dxfId="1261" priority="1466" operator="equal">
      <formula>"Menor"</formula>
    </cfRule>
    <cfRule type="cellIs" dxfId="1260" priority="1467" operator="equal">
      <formula>"Leve"</formula>
    </cfRule>
  </conditionalFormatting>
  <conditionalFormatting sqref="Q88">
    <cfRule type="cellIs" dxfId="1259" priority="1459" operator="equal">
      <formula>"Extremo"</formula>
    </cfRule>
    <cfRule type="cellIs" dxfId="1258" priority="1460" operator="equal">
      <formula>"Alto"</formula>
    </cfRule>
    <cfRule type="cellIs" dxfId="1257" priority="1461" operator="equal">
      <formula>"Moderado"</formula>
    </cfRule>
    <cfRule type="cellIs" dxfId="1256" priority="1462" operator="equal">
      <formula>"Bajo"</formula>
    </cfRule>
  </conditionalFormatting>
  <conditionalFormatting sqref="N88:N90">
    <cfRule type="containsText" dxfId="1255" priority="1458" operator="containsText" text="❌">
      <formula>NOT(ISERROR(SEARCH("❌",N88)))</formula>
    </cfRule>
  </conditionalFormatting>
  <conditionalFormatting sqref="K91">
    <cfRule type="cellIs" dxfId="1254" priority="1453" operator="equal">
      <formula>"Muy Alta"</formula>
    </cfRule>
    <cfRule type="cellIs" dxfId="1253" priority="1454" operator="equal">
      <formula>"Alta"</formula>
    </cfRule>
    <cfRule type="cellIs" dxfId="1252" priority="1455" operator="equal">
      <formula>"Media"</formula>
    </cfRule>
    <cfRule type="cellIs" dxfId="1251" priority="1456" operator="equal">
      <formula>"Baja"</formula>
    </cfRule>
    <cfRule type="cellIs" dxfId="1250" priority="1457" operator="equal">
      <formula>"Muy Baja"</formula>
    </cfRule>
  </conditionalFormatting>
  <conditionalFormatting sqref="O91">
    <cfRule type="cellIs" dxfId="1249" priority="1448" operator="equal">
      <formula>"Catastrófico"</formula>
    </cfRule>
    <cfRule type="cellIs" dxfId="1248" priority="1449" operator="equal">
      <formula>"Mayor"</formula>
    </cfRule>
    <cfRule type="cellIs" dxfId="1247" priority="1450" operator="equal">
      <formula>"Moderado"</formula>
    </cfRule>
    <cfRule type="cellIs" dxfId="1246" priority="1451" operator="equal">
      <formula>"Menor"</formula>
    </cfRule>
    <cfRule type="cellIs" dxfId="1245" priority="1452" operator="equal">
      <formula>"Leve"</formula>
    </cfRule>
  </conditionalFormatting>
  <conditionalFormatting sqref="Q91">
    <cfRule type="cellIs" dxfId="1244" priority="1444" operator="equal">
      <formula>"Extremo"</formula>
    </cfRule>
    <cfRule type="cellIs" dxfId="1243" priority="1445" operator="equal">
      <formula>"Alto"</formula>
    </cfRule>
    <cfRule type="cellIs" dxfId="1242" priority="1446" operator="equal">
      <formula>"Moderado"</formula>
    </cfRule>
    <cfRule type="cellIs" dxfId="1241" priority="1447" operator="equal">
      <formula>"Bajo"</formula>
    </cfRule>
  </conditionalFormatting>
  <conditionalFormatting sqref="N91:N93">
    <cfRule type="containsText" dxfId="1240" priority="1443" operator="containsText" text="❌">
      <formula>NOT(ISERROR(SEARCH("❌",N91)))</formula>
    </cfRule>
  </conditionalFormatting>
  <conditionalFormatting sqref="K94">
    <cfRule type="cellIs" dxfId="1239" priority="1438" operator="equal">
      <formula>"Muy Alta"</formula>
    </cfRule>
    <cfRule type="cellIs" dxfId="1238" priority="1439" operator="equal">
      <formula>"Alta"</formula>
    </cfRule>
    <cfRule type="cellIs" dxfId="1237" priority="1440" operator="equal">
      <formula>"Media"</formula>
    </cfRule>
    <cfRule type="cellIs" dxfId="1236" priority="1441" operator="equal">
      <formula>"Baja"</formula>
    </cfRule>
    <cfRule type="cellIs" dxfId="1235" priority="1442" operator="equal">
      <formula>"Muy Baja"</formula>
    </cfRule>
  </conditionalFormatting>
  <conditionalFormatting sqref="O94">
    <cfRule type="cellIs" dxfId="1234" priority="1433" operator="equal">
      <formula>"Catastrófico"</formula>
    </cfRule>
    <cfRule type="cellIs" dxfId="1233" priority="1434" operator="equal">
      <formula>"Mayor"</formula>
    </cfRule>
    <cfRule type="cellIs" dxfId="1232" priority="1435" operator="equal">
      <formula>"Moderado"</formula>
    </cfRule>
    <cfRule type="cellIs" dxfId="1231" priority="1436" operator="equal">
      <formula>"Menor"</formula>
    </cfRule>
    <cfRule type="cellIs" dxfId="1230" priority="1437" operator="equal">
      <formula>"Leve"</formula>
    </cfRule>
  </conditionalFormatting>
  <conditionalFormatting sqref="Q94">
    <cfRule type="cellIs" dxfId="1229" priority="1429" operator="equal">
      <formula>"Extremo"</formula>
    </cfRule>
    <cfRule type="cellIs" dxfId="1228" priority="1430" operator="equal">
      <formula>"Alto"</formula>
    </cfRule>
    <cfRule type="cellIs" dxfId="1227" priority="1431" operator="equal">
      <formula>"Moderado"</formula>
    </cfRule>
    <cfRule type="cellIs" dxfId="1226" priority="1432" operator="equal">
      <formula>"Bajo"</formula>
    </cfRule>
  </conditionalFormatting>
  <conditionalFormatting sqref="N94:N96">
    <cfRule type="containsText" dxfId="1225" priority="1428" operator="containsText" text="❌">
      <formula>NOT(ISERROR(SEARCH("❌",N94)))</formula>
    </cfRule>
  </conditionalFormatting>
  <conditionalFormatting sqref="O97:O98">
    <cfRule type="cellIs" dxfId="1224" priority="1418" operator="equal">
      <formula>"Catastrófico"</formula>
    </cfRule>
    <cfRule type="cellIs" dxfId="1223" priority="1419" operator="equal">
      <formula>"Mayor"</formula>
    </cfRule>
    <cfRule type="cellIs" dxfId="1222" priority="1420" operator="equal">
      <formula>"Moderado"</formula>
    </cfRule>
    <cfRule type="cellIs" dxfId="1221" priority="1421" operator="equal">
      <formula>"Menor"</formula>
    </cfRule>
    <cfRule type="cellIs" dxfId="1220" priority="1422" operator="equal">
      <formula>"Leve"</formula>
    </cfRule>
  </conditionalFormatting>
  <conditionalFormatting sqref="Q97:Q98">
    <cfRule type="cellIs" dxfId="1219" priority="1414" operator="equal">
      <formula>"Extremo"</formula>
    </cfRule>
    <cfRule type="cellIs" dxfId="1218" priority="1415" operator="equal">
      <formula>"Alto"</formula>
    </cfRule>
    <cfRule type="cellIs" dxfId="1217" priority="1416" operator="equal">
      <formula>"Moderado"</formula>
    </cfRule>
    <cfRule type="cellIs" dxfId="1216" priority="1417" operator="equal">
      <formula>"Bajo"</formula>
    </cfRule>
  </conditionalFormatting>
  <conditionalFormatting sqref="N97:N99">
    <cfRule type="containsText" dxfId="1215" priority="1413" operator="containsText" text="❌">
      <formula>NOT(ISERROR(SEARCH("❌",N97)))</formula>
    </cfRule>
  </conditionalFormatting>
  <conditionalFormatting sqref="K103">
    <cfRule type="cellIs" dxfId="1214" priority="1393" operator="equal">
      <formula>"Muy Alta"</formula>
    </cfRule>
    <cfRule type="cellIs" dxfId="1213" priority="1394" operator="equal">
      <formula>"Alta"</formula>
    </cfRule>
    <cfRule type="cellIs" dxfId="1212" priority="1395" operator="equal">
      <formula>"Media"</formula>
    </cfRule>
    <cfRule type="cellIs" dxfId="1211" priority="1396" operator="equal">
      <formula>"Baja"</formula>
    </cfRule>
    <cfRule type="cellIs" dxfId="1210" priority="1397" operator="equal">
      <formula>"Muy Baja"</formula>
    </cfRule>
  </conditionalFormatting>
  <conditionalFormatting sqref="O103">
    <cfRule type="cellIs" dxfId="1209" priority="1388" operator="equal">
      <formula>"Catastrófico"</formula>
    </cfRule>
    <cfRule type="cellIs" dxfId="1208" priority="1389" operator="equal">
      <formula>"Mayor"</formula>
    </cfRule>
    <cfRule type="cellIs" dxfId="1207" priority="1390" operator="equal">
      <formula>"Moderado"</formula>
    </cfRule>
    <cfRule type="cellIs" dxfId="1206" priority="1391" operator="equal">
      <formula>"Menor"</formula>
    </cfRule>
    <cfRule type="cellIs" dxfId="1205" priority="1392" operator="equal">
      <formula>"Leve"</formula>
    </cfRule>
  </conditionalFormatting>
  <conditionalFormatting sqref="Q103">
    <cfRule type="cellIs" dxfId="1204" priority="1384" operator="equal">
      <formula>"Extremo"</formula>
    </cfRule>
    <cfRule type="cellIs" dxfId="1203" priority="1385" operator="equal">
      <formula>"Alto"</formula>
    </cfRule>
    <cfRule type="cellIs" dxfId="1202" priority="1386" operator="equal">
      <formula>"Moderado"</formula>
    </cfRule>
    <cfRule type="cellIs" dxfId="1201" priority="1387" operator="equal">
      <formula>"Bajo"</formula>
    </cfRule>
  </conditionalFormatting>
  <conditionalFormatting sqref="N103:N105">
    <cfRule type="containsText" dxfId="1200" priority="1383" operator="containsText" text="❌">
      <formula>NOT(ISERROR(SEARCH("❌",N103)))</formula>
    </cfRule>
  </conditionalFormatting>
  <conditionalFormatting sqref="K106">
    <cfRule type="cellIs" dxfId="1199" priority="1378" operator="equal">
      <formula>"Muy Alta"</formula>
    </cfRule>
    <cfRule type="cellIs" dxfId="1198" priority="1379" operator="equal">
      <formula>"Alta"</formula>
    </cfRule>
    <cfRule type="cellIs" dxfId="1197" priority="1380" operator="equal">
      <formula>"Media"</formula>
    </cfRule>
    <cfRule type="cellIs" dxfId="1196" priority="1381" operator="equal">
      <formula>"Baja"</formula>
    </cfRule>
    <cfRule type="cellIs" dxfId="1195" priority="1382" operator="equal">
      <formula>"Muy Baja"</formula>
    </cfRule>
  </conditionalFormatting>
  <conditionalFormatting sqref="O106">
    <cfRule type="cellIs" dxfId="1194" priority="1373" operator="equal">
      <formula>"Catastrófico"</formula>
    </cfRule>
    <cfRule type="cellIs" dxfId="1193" priority="1374" operator="equal">
      <formula>"Mayor"</formula>
    </cfRule>
    <cfRule type="cellIs" dxfId="1192" priority="1375" operator="equal">
      <formula>"Moderado"</formula>
    </cfRule>
    <cfRule type="cellIs" dxfId="1191" priority="1376" operator="equal">
      <formula>"Menor"</formula>
    </cfRule>
    <cfRule type="cellIs" dxfId="1190" priority="1377" operator="equal">
      <formula>"Leve"</formula>
    </cfRule>
  </conditionalFormatting>
  <conditionalFormatting sqref="Q106">
    <cfRule type="cellIs" dxfId="1189" priority="1369" operator="equal">
      <formula>"Extremo"</formula>
    </cfRule>
    <cfRule type="cellIs" dxfId="1188" priority="1370" operator="equal">
      <formula>"Alto"</formula>
    </cfRule>
    <cfRule type="cellIs" dxfId="1187" priority="1371" operator="equal">
      <formula>"Moderado"</formula>
    </cfRule>
    <cfRule type="cellIs" dxfId="1186" priority="1372" operator="equal">
      <formula>"Bajo"</formula>
    </cfRule>
  </conditionalFormatting>
  <conditionalFormatting sqref="N106:N108">
    <cfRule type="containsText" dxfId="1185" priority="1368" operator="containsText" text="❌">
      <formula>NOT(ISERROR(SEARCH("❌",N106)))</formula>
    </cfRule>
  </conditionalFormatting>
  <conditionalFormatting sqref="K124">
    <cfRule type="cellIs" dxfId="1184" priority="1363" operator="equal">
      <formula>"Muy Alta"</formula>
    </cfRule>
    <cfRule type="cellIs" dxfId="1183" priority="1364" operator="equal">
      <formula>"Alta"</formula>
    </cfRule>
    <cfRule type="cellIs" dxfId="1182" priority="1365" operator="equal">
      <formula>"Media"</formula>
    </cfRule>
    <cfRule type="cellIs" dxfId="1181" priority="1366" operator="equal">
      <formula>"Baja"</formula>
    </cfRule>
    <cfRule type="cellIs" dxfId="1180" priority="1367" operator="equal">
      <formula>"Muy Baja"</formula>
    </cfRule>
  </conditionalFormatting>
  <conditionalFormatting sqref="O124">
    <cfRule type="cellIs" dxfId="1179" priority="1358" operator="equal">
      <formula>"Catastrófico"</formula>
    </cfRule>
    <cfRule type="cellIs" dxfId="1178" priority="1359" operator="equal">
      <formula>"Mayor"</formula>
    </cfRule>
    <cfRule type="cellIs" dxfId="1177" priority="1360" operator="equal">
      <formula>"Moderado"</formula>
    </cfRule>
    <cfRule type="cellIs" dxfId="1176" priority="1361" operator="equal">
      <formula>"Menor"</formula>
    </cfRule>
    <cfRule type="cellIs" dxfId="1175" priority="1362" operator="equal">
      <formula>"Leve"</formula>
    </cfRule>
  </conditionalFormatting>
  <conditionalFormatting sqref="Q124">
    <cfRule type="cellIs" dxfId="1174" priority="1354" operator="equal">
      <formula>"Extremo"</formula>
    </cfRule>
    <cfRule type="cellIs" dxfId="1173" priority="1355" operator="equal">
      <formula>"Alto"</formula>
    </cfRule>
    <cfRule type="cellIs" dxfId="1172" priority="1356" operator="equal">
      <formula>"Moderado"</formula>
    </cfRule>
    <cfRule type="cellIs" dxfId="1171" priority="1357" operator="equal">
      <formula>"Bajo"</formula>
    </cfRule>
  </conditionalFormatting>
  <conditionalFormatting sqref="N124:N126">
    <cfRule type="containsText" dxfId="1170" priority="1353" operator="containsText" text="❌">
      <formula>NOT(ISERROR(SEARCH("❌",N124)))</formula>
    </cfRule>
  </conditionalFormatting>
  <conditionalFormatting sqref="AB109">
    <cfRule type="cellIs" dxfId="1169" priority="1348" operator="equal">
      <formula>"Muy Alta"</formula>
    </cfRule>
    <cfRule type="cellIs" dxfId="1168" priority="1349" operator="equal">
      <formula>"Alta"</formula>
    </cfRule>
    <cfRule type="cellIs" dxfId="1167" priority="1350" operator="equal">
      <formula>"Media"</formula>
    </cfRule>
    <cfRule type="cellIs" dxfId="1166" priority="1351" operator="equal">
      <formula>"Baja"</formula>
    </cfRule>
    <cfRule type="cellIs" dxfId="1165" priority="1352" operator="equal">
      <formula>"Muy Baja"</formula>
    </cfRule>
  </conditionalFormatting>
  <conditionalFormatting sqref="AD109">
    <cfRule type="cellIs" dxfId="1164" priority="1343" operator="equal">
      <formula>"Catastrófico"</formula>
    </cfRule>
    <cfRule type="cellIs" dxfId="1163" priority="1344" operator="equal">
      <formula>"Mayor"</formula>
    </cfRule>
    <cfRule type="cellIs" dxfId="1162" priority="1345" operator="equal">
      <formula>"Moderado"</formula>
    </cfRule>
    <cfRule type="cellIs" dxfId="1161" priority="1346" operator="equal">
      <formula>"Menor"</formula>
    </cfRule>
    <cfRule type="cellIs" dxfId="1160" priority="1347" operator="equal">
      <formula>"Leve"</formula>
    </cfRule>
  </conditionalFormatting>
  <conditionalFormatting sqref="AF109">
    <cfRule type="cellIs" dxfId="1159" priority="1339" operator="equal">
      <formula>"Extremo"</formula>
    </cfRule>
    <cfRule type="cellIs" dxfId="1158" priority="1340" operator="equal">
      <formula>"Alto"</formula>
    </cfRule>
    <cfRule type="cellIs" dxfId="1157" priority="1341" operator="equal">
      <formula>"Moderado"</formula>
    </cfRule>
    <cfRule type="cellIs" dxfId="1156" priority="1342" operator="equal">
      <formula>"Bajo"</formula>
    </cfRule>
  </conditionalFormatting>
  <conditionalFormatting sqref="AB110">
    <cfRule type="cellIs" dxfId="1155" priority="1334" operator="equal">
      <formula>"Muy Alta"</formula>
    </cfRule>
    <cfRule type="cellIs" dxfId="1154" priority="1335" operator="equal">
      <formula>"Alta"</formula>
    </cfRule>
    <cfRule type="cellIs" dxfId="1153" priority="1336" operator="equal">
      <formula>"Media"</formula>
    </cfRule>
    <cfRule type="cellIs" dxfId="1152" priority="1337" operator="equal">
      <formula>"Baja"</formula>
    </cfRule>
    <cfRule type="cellIs" dxfId="1151" priority="1338" operator="equal">
      <formula>"Muy Baja"</formula>
    </cfRule>
  </conditionalFormatting>
  <conditionalFormatting sqref="AD110">
    <cfRule type="cellIs" dxfId="1150" priority="1329" operator="equal">
      <formula>"Catastrófico"</formula>
    </cfRule>
    <cfRule type="cellIs" dxfId="1149" priority="1330" operator="equal">
      <formula>"Mayor"</formula>
    </cfRule>
    <cfRule type="cellIs" dxfId="1148" priority="1331" operator="equal">
      <formula>"Moderado"</formula>
    </cfRule>
    <cfRule type="cellIs" dxfId="1147" priority="1332" operator="equal">
      <formula>"Menor"</formula>
    </cfRule>
    <cfRule type="cellIs" dxfId="1146" priority="1333" operator="equal">
      <formula>"Leve"</formula>
    </cfRule>
  </conditionalFormatting>
  <conditionalFormatting sqref="AF110">
    <cfRule type="cellIs" dxfId="1145" priority="1325" operator="equal">
      <formula>"Extremo"</formula>
    </cfRule>
    <cfRule type="cellIs" dxfId="1144" priority="1326" operator="equal">
      <formula>"Alto"</formula>
    </cfRule>
    <cfRule type="cellIs" dxfId="1143" priority="1327" operator="equal">
      <formula>"Moderado"</formula>
    </cfRule>
    <cfRule type="cellIs" dxfId="1142" priority="1328" operator="equal">
      <formula>"Bajo"</formula>
    </cfRule>
  </conditionalFormatting>
  <conditionalFormatting sqref="AB111">
    <cfRule type="cellIs" dxfId="1141" priority="1320" operator="equal">
      <formula>"Muy Alta"</formula>
    </cfRule>
    <cfRule type="cellIs" dxfId="1140" priority="1321" operator="equal">
      <formula>"Alta"</formula>
    </cfRule>
    <cfRule type="cellIs" dxfId="1139" priority="1322" operator="equal">
      <formula>"Media"</formula>
    </cfRule>
    <cfRule type="cellIs" dxfId="1138" priority="1323" operator="equal">
      <formula>"Baja"</formula>
    </cfRule>
    <cfRule type="cellIs" dxfId="1137" priority="1324" operator="equal">
      <formula>"Muy Baja"</formula>
    </cfRule>
  </conditionalFormatting>
  <conditionalFormatting sqref="AD111">
    <cfRule type="cellIs" dxfId="1136" priority="1315" operator="equal">
      <formula>"Catastrófico"</formula>
    </cfRule>
    <cfRule type="cellIs" dxfId="1135" priority="1316" operator="equal">
      <formula>"Mayor"</formula>
    </cfRule>
    <cfRule type="cellIs" dxfId="1134" priority="1317" operator="equal">
      <formula>"Moderado"</formula>
    </cfRule>
    <cfRule type="cellIs" dxfId="1133" priority="1318" operator="equal">
      <formula>"Menor"</formula>
    </cfRule>
    <cfRule type="cellIs" dxfId="1132" priority="1319" operator="equal">
      <formula>"Leve"</formula>
    </cfRule>
  </conditionalFormatting>
  <conditionalFormatting sqref="AF111">
    <cfRule type="cellIs" dxfId="1131" priority="1311" operator="equal">
      <formula>"Extremo"</formula>
    </cfRule>
    <cfRule type="cellIs" dxfId="1130" priority="1312" operator="equal">
      <formula>"Alto"</formula>
    </cfRule>
    <cfRule type="cellIs" dxfId="1129" priority="1313" operator="equal">
      <formula>"Moderado"</formula>
    </cfRule>
    <cfRule type="cellIs" dxfId="1128" priority="1314" operator="equal">
      <formula>"Bajo"</formula>
    </cfRule>
  </conditionalFormatting>
  <conditionalFormatting sqref="K109">
    <cfRule type="cellIs" dxfId="1127" priority="1306" operator="equal">
      <formula>"Muy Alta"</formula>
    </cfRule>
    <cfRule type="cellIs" dxfId="1126" priority="1307" operator="equal">
      <formula>"Alta"</formula>
    </cfRule>
    <cfRule type="cellIs" dxfId="1125" priority="1308" operator="equal">
      <formula>"Media"</formula>
    </cfRule>
    <cfRule type="cellIs" dxfId="1124" priority="1309" operator="equal">
      <formula>"Baja"</formula>
    </cfRule>
    <cfRule type="cellIs" dxfId="1123" priority="1310" operator="equal">
      <formula>"Muy Baja"</formula>
    </cfRule>
  </conditionalFormatting>
  <conditionalFormatting sqref="O109">
    <cfRule type="cellIs" dxfId="1122" priority="1301" operator="equal">
      <formula>"Catastrófico"</formula>
    </cfRule>
    <cfRule type="cellIs" dxfId="1121" priority="1302" operator="equal">
      <formula>"Mayor"</formula>
    </cfRule>
    <cfRule type="cellIs" dxfId="1120" priority="1303" operator="equal">
      <formula>"Moderado"</formula>
    </cfRule>
    <cfRule type="cellIs" dxfId="1119" priority="1304" operator="equal">
      <formula>"Menor"</formula>
    </cfRule>
    <cfRule type="cellIs" dxfId="1118" priority="1305" operator="equal">
      <formula>"Leve"</formula>
    </cfRule>
  </conditionalFormatting>
  <conditionalFormatting sqref="Q109">
    <cfRule type="cellIs" dxfId="1117" priority="1297" operator="equal">
      <formula>"Extremo"</formula>
    </cfRule>
    <cfRule type="cellIs" dxfId="1116" priority="1298" operator="equal">
      <formula>"Alto"</formula>
    </cfRule>
    <cfRule type="cellIs" dxfId="1115" priority="1299" operator="equal">
      <formula>"Moderado"</formula>
    </cfRule>
    <cfRule type="cellIs" dxfId="1114" priority="1300" operator="equal">
      <formula>"Bajo"</formula>
    </cfRule>
  </conditionalFormatting>
  <conditionalFormatting sqref="N109:N111">
    <cfRule type="containsText" dxfId="1113" priority="1296" operator="containsText" text="❌">
      <formula>NOT(ISERROR(SEARCH("❌",N109)))</formula>
    </cfRule>
  </conditionalFormatting>
  <conditionalFormatting sqref="AB112">
    <cfRule type="cellIs" dxfId="1112" priority="1291" operator="equal">
      <formula>"Muy Alta"</formula>
    </cfRule>
    <cfRule type="cellIs" dxfId="1111" priority="1292" operator="equal">
      <formula>"Alta"</formula>
    </cfRule>
    <cfRule type="cellIs" dxfId="1110" priority="1293" operator="equal">
      <formula>"Media"</formula>
    </cfRule>
    <cfRule type="cellIs" dxfId="1109" priority="1294" operator="equal">
      <formula>"Baja"</formula>
    </cfRule>
    <cfRule type="cellIs" dxfId="1108" priority="1295" operator="equal">
      <formula>"Muy Baja"</formula>
    </cfRule>
  </conditionalFormatting>
  <conditionalFormatting sqref="AD112">
    <cfRule type="cellIs" dxfId="1107" priority="1286" operator="equal">
      <formula>"Catastrófico"</formula>
    </cfRule>
    <cfRule type="cellIs" dxfId="1106" priority="1287" operator="equal">
      <formula>"Mayor"</formula>
    </cfRule>
    <cfRule type="cellIs" dxfId="1105" priority="1288" operator="equal">
      <formula>"Moderado"</formula>
    </cfRule>
    <cfRule type="cellIs" dxfId="1104" priority="1289" operator="equal">
      <formula>"Menor"</formula>
    </cfRule>
    <cfRule type="cellIs" dxfId="1103" priority="1290" operator="equal">
      <formula>"Leve"</formula>
    </cfRule>
  </conditionalFormatting>
  <conditionalFormatting sqref="AF112">
    <cfRule type="cellIs" dxfId="1102" priority="1282" operator="equal">
      <formula>"Extremo"</formula>
    </cfRule>
    <cfRule type="cellIs" dxfId="1101" priority="1283" operator="equal">
      <formula>"Alto"</formula>
    </cfRule>
    <cfRule type="cellIs" dxfId="1100" priority="1284" operator="equal">
      <formula>"Moderado"</formula>
    </cfRule>
    <cfRule type="cellIs" dxfId="1099" priority="1285" operator="equal">
      <formula>"Bajo"</formula>
    </cfRule>
  </conditionalFormatting>
  <conditionalFormatting sqref="AB113">
    <cfRule type="cellIs" dxfId="1098" priority="1277" operator="equal">
      <formula>"Muy Alta"</formula>
    </cfRule>
    <cfRule type="cellIs" dxfId="1097" priority="1278" operator="equal">
      <formula>"Alta"</formula>
    </cfRule>
    <cfRule type="cellIs" dxfId="1096" priority="1279" operator="equal">
      <formula>"Media"</formula>
    </cfRule>
    <cfRule type="cellIs" dxfId="1095" priority="1280" operator="equal">
      <formula>"Baja"</formula>
    </cfRule>
    <cfRule type="cellIs" dxfId="1094" priority="1281" operator="equal">
      <formula>"Muy Baja"</formula>
    </cfRule>
  </conditionalFormatting>
  <conditionalFormatting sqref="AD113">
    <cfRule type="cellIs" dxfId="1093" priority="1272" operator="equal">
      <formula>"Catastrófico"</formula>
    </cfRule>
    <cfRule type="cellIs" dxfId="1092" priority="1273" operator="equal">
      <formula>"Mayor"</formula>
    </cfRule>
    <cfRule type="cellIs" dxfId="1091" priority="1274" operator="equal">
      <formula>"Moderado"</formula>
    </cfRule>
    <cfRule type="cellIs" dxfId="1090" priority="1275" operator="equal">
      <formula>"Menor"</formula>
    </cfRule>
    <cfRule type="cellIs" dxfId="1089" priority="1276" operator="equal">
      <formula>"Leve"</formula>
    </cfRule>
  </conditionalFormatting>
  <conditionalFormatting sqref="AF113">
    <cfRule type="cellIs" dxfId="1088" priority="1268" operator="equal">
      <formula>"Extremo"</formula>
    </cfRule>
    <cfRule type="cellIs" dxfId="1087" priority="1269" operator="equal">
      <formula>"Alto"</formula>
    </cfRule>
    <cfRule type="cellIs" dxfId="1086" priority="1270" operator="equal">
      <formula>"Moderado"</formula>
    </cfRule>
    <cfRule type="cellIs" dxfId="1085" priority="1271" operator="equal">
      <formula>"Bajo"</formula>
    </cfRule>
  </conditionalFormatting>
  <conditionalFormatting sqref="AB114">
    <cfRule type="cellIs" dxfId="1084" priority="1263" operator="equal">
      <formula>"Muy Alta"</formula>
    </cfRule>
    <cfRule type="cellIs" dxfId="1083" priority="1264" operator="equal">
      <formula>"Alta"</formula>
    </cfRule>
    <cfRule type="cellIs" dxfId="1082" priority="1265" operator="equal">
      <formula>"Media"</formula>
    </cfRule>
    <cfRule type="cellIs" dxfId="1081" priority="1266" operator="equal">
      <formula>"Baja"</formula>
    </cfRule>
    <cfRule type="cellIs" dxfId="1080" priority="1267" operator="equal">
      <formula>"Muy Baja"</formula>
    </cfRule>
  </conditionalFormatting>
  <conditionalFormatting sqref="AD114">
    <cfRule type="cellIs" dxfId="1079" priority="1258" operator="equal">
      <formula>"Catastrófico"</formula>
    </cfRule>
    <cfRule type="cellIs" dxfId="1078" priority="1259" operator="equal">
      <formula>"Mayor"</formula>
    </cfRule>
    <cfRule type="cellIs" dxfId="1077" priority="1260" operator="equal">
      <formula>"Moderado"</formula>
    </cfRule>
    <cfRule type="cellIs" dxfId="1076" priority="1261" operator="equal">
      <formula>"Menor"</formula>
    </cfRule>
    <cfRule type="cellIs" dxfId="1075" priority="1262" operator="equal">
      <formula>"Leve"</formula>
    </cfRule>
  </conditionalFormatting>
  <conditionalFormatting sqref="AF114">
    <cfRule type="cellIs" dxfId="1074" priority="1254" operator="equal">
      <formula>"Extremo"</formula>
    </cfRule>
    <cfRule type="cellIs" dxfId="1073" priority="1255" operator="equal">
      <formula>"Alto"</formula>
    </cfRule>
    <cfRule type="cellIs" dxfId="1072" priority="1256" operator="equal">
      <formula>"Moderado"</formula>
    </cfRule>
    <cfRule type="cellIs" dxfId="1071" priority="1257" operator="equal">
      <formula>"Bajo"</formula>
    </cfRule>
  </conditionalFormatting>
  <conditionalFormatting sqref="K112">
    <cfRule type="cellIs" dxfId="1070" priority="1249" operator="equal">
      <formula>"Muy Alta"</formula>
    </cfRule>
    <cfRule type="cellIs" dxfId="1069" priority="1250" operator="equal">
      <formula>"Alta"</formula>
    </cfRule>
    <cfRule type="cellIs" dxfId="1068" priority="1251" operator="equal">
      <formula>"Media"</formula>
    </cfRule>
    <cfRule type="cellIs" dxfId="1067" priority="1252" operator="equal">
      <formula>"Baja"</formula>
    </cfRule>
    <cfRule type="cellIs" dxfId="1066" priority="1253" operator="equal">
      <formula>"Muy Baja"</formula>
    </cfRule>
  </conditionalFormatting>
  <conditionalFormatting sqref="O112">
    <cfRule type="cellIs" dxfId="1065" priority="1244" operator="equal">
      <formula>"Catastrófico"</formula>
    </cfRule>
    <cfRule type="cellIs" dxfId="1064" priority="1245" operator="equal">
      <formula>"Mayor"</formula>
    </cfRule>
    <cfRule type="cellIs" dxfId="1063" priority="1246" operator="equal">
      <formula>"Moderado"</formula>
    </cfRule>
    <cfRule type="cellIs" dxfId="1062" priority="1247" operator="equal">
      <formula>"Menor"</formula>
    </cfRule>
    <cfRule type="cellIs" dxfId="1061" priority="1248" operator="equal">
      <formula>"Leve"</formula>
    </cfRule>
  </conditionalFormatting>
  <conditionalFormatting sqref="Q112">
    <cfRule type="cellIs" dxfId="1060" priority="1240" operator="equal">
      <formula>"Extremo"</formula>
    </cfRule>
    <cfRule type="cellIs" dxfId="1059" priority="1241" operator="equal">
      <formula>"Alto"</formula>
    </cfRule>
    <cfRule type="cellIs" dxfId="1058" priority="1242" operator="equal">
      <formula>"Moderado"</formula>
    </cfRule>
    <cfRule type="cellIs" dxfId="1057" priority="1243" operator="equal">
      <formula>"Bajo"</formula>
    </cfRule>
  </conditionalFormatting>
  <conditionalFormatting sqref="N112:N114">
    <cfRule type="containsText" dxfId="1056" priority="1239" operator="containsText" text="❌">
      <formula>NOT(ISERROR(SEARCH("❌",N112)))</formula>
    </cfRule>
  </conditionalFormatting>
  <conditionalFormatting sqref="AB115">
    <cfRule type="cellIs" dxfId="1055" priority="1234" operator="equal">
      <formula>"Muy Alta"</formula>
    </cfRule>
    <cfRule type="cellIs" dxfId="1054" priority="1235" operator="equal">
      <formula>"Alta"</formula>
    </cfRule>
    <cfRule type="cellIs" dxfId="1053" priority="1236" operator="equal">
      <formula>"Media"</formula>
    </cfRule>
    <cfRule type="cellIs" dxfId="1052" priority="1237" operator="equal">
      <formula>"Baja"</formula>
    </cfRule>
    <cfRule type="cellIs" dxfId="1051" priority="1238" operator="equal">
      <formula>"Muy Baja"</formula>
    </cfRule>
  </conditionalFormatting>
  <conditionalFormatting sqref="AD115">
    <cfRule type="cellIs" dxfId="1050" priority="1229" operator="equal">
      <formula>"Catastrófico"</formula>
    </cfRule>
    <cfRule type="cellIs" dxfId="1049" priority="1230" operator="equal">
      <formula>"Mayor"</formula>
    </cfRule>
    <cfRule type="cellIs" dxfId="1048" priority="1231" operator="equal">
      <formula>"Moderado"</formula>
    </cfRule>
    <cfRule type="cellIs" dxfId="1047" priority="1232" operator="equal">
      <formula>"Menor"</formula>
    </cfRule>
    <cfRule type="cellIs" dxfId="1046" priority="1233" operator="equal">
      <formula>"Leve"</formula>
    </cfRule>
  </conditionalFormatting>
  <conditionalFormatting sqref="AF115">
    <cfRule type="cellIs" dxfId="1045" priority="1225" operator="equal">
      <formula>"Extremo"</formula>
    </cfRule>
    <cfRule type="cellIs" dxfId="1044" priority="1226" operator="equal">
      <formula>"Alto"</formula>
    </cfRule>
    <cfRule type="cellIs" dxfId="1043" priority="1227" operator="equal">
      <formula>"Moderado"</formula>
    </cfRule>
    <cfRule type="cellIs" dxfId="1042" priority="1228" operator="equal">
      <formula>"Bajo"</formula>
    </cfRule>
  </conditionalFormatting>
  <conditionalFormatting sqref="AB116">
    <cfRule type="cellIs" dxfId="1041" priority="1220" operator="equal">
      <formula>"Muy Alta"</formula>
    </cfRule>
    <cfRule type="cellIs" dxfId="1040" priority="1221" operator="equal">
      <formula>"Alta"</formula>
    </cfRule>
    <cfRule type="cellIs" dxfId="1039" priority="1222" operator="equal">
      <formula>"Media"</formula>
    </cfRule>
    <cfRule type="cellIs" dxfId="1038" priority="1223" operator="equal">
      <formula>"Baja"</formula>
    </cfRule>
    <cfRule type="cellIs" dxfId="1037" priority="1224" operator="equal">
      <formula>"Muy Baja"</formula>
    </cfRule>
  </conditionalFormatting>
  <conditionalFormatting sqref="AD116">
    <cfRule type="cellIs" dxfId="1036" priority="1215" operator="equal">
      <formula>"Catastrófico"</formula>
    </cfRule>
    <cfRule type="cellIs" dxfId="1035" priority="1216" operator="equal">
      <formula>"Mayor"</formula>
    </cfRule>
    <cfRule type="cellIs" dxfId="1034" priority="1217" operator="equal">
      <formula>"Moderado"</formula>
    </cfRule>
    <cfRule type="cellIs" dxfId="1033" priority="1218" operator="equal">
      <formula>"Menor"</formula>
    </cfRule>
    <cfRule type="cellIs" dxfId="1032" priority="1219" operator="equal">
      <formula>"Leve"</formula>
    </cfRule>
  </conditionalFormatting>
  <conditionalFormatting sqref="AF116">
    <cfRule type="cellIs" dxfId="1031" priority="1211" operator="equal">
      <formula>"Extremo"</formula>
    </cfRule>
    <cfRule type="cellIs" dxfId="1030" priority="1212" operator="equal">
      <formula>"Alto"</formula>
    </cfRule>
    <cfRule type="cellIs" dxfId="1029" priority="1213" operator="equal">
      <formula>"Moderado"</formula>
    </cfRule>
    <cfRule type="cellIs" dxfId="1028" priority="1214" operator="equal">
      <formula>"Bajo"</formula>
    </cfRule>
  </conditionalFormatting>
  <conditionalFormatting sqref="AB117">
    <cfRule type="cellIs" dxfId="1027" priority="1206" operator="equal">
      <formula>"Muy Alta"</formula>
    </cfRule>
    <cfRule type="cellIs" dxfId="1026" priority="1207" operator="equal">
      <formula>"Alta"</formula>
    </cfRule>
    <cfRule type="cellIs" dxfId="1025" priority="1208" operator="equal">
      <formula>"Media"</formula>
    </cfRule>
    <cfRule type="cellIs" dxfId="1024" priority="1209" operator="equal">
      <formula>"Baja"</formula>
    </cfRule>
    <cfRule type="cellIs" dxfId="1023" priority="1210" operator="equal">
      <formula>"Muy Baja"</formula>
    </cfRule>
  </conditionalFormatting>
  <conditionalFormatting sqref="AD117">
    <cfRule type="cellIs" dxfId="1022" priority="1201" operator="equal">
      <formula>"Catastrófico"</formula>
    </cfRule>
    <cfRule type="cellIs" dxfId="1021" priority="1202" operator="equal">
      <formula>"Mayor"</formula>
    </cfRule>
    <cfRule type="cellIs" dxfId="1020" priority="1203" operator="equal">
      <formula>"Moderado"</formula>
    </cfRule>
    <cfRule type="cellIs" dxfId="1019" priority="1204" operator="equal">
      <formula>"Menor"</formula>
    </cfRule>
    <cfRule type="cellIs" dxfId="1018" priority="1205" operator="equal">
      <formula>"Leve"</formula>
    </cfRule>
  </conditionalFormatting>
  <conditionalFormatting sqref="AF117">
    <cfRule type="cellIs" dxfId="1017" priority="1197" operator="equal">
      <formula>"Extremo"</formula>
    </cfRule>
    <cfRule type="cellIs" dxfId="1016" priority="1198" operator="equal">
      <formula>"Alto"</formula>
    </cfRule>
    <cfRule type="cellIs" dxfId="1015" priority="1199" operator="equal">
      <formula>"Moderado"</formula>
    </cfRule>
    <cfRule type="cellIs" dxfId="1014" priority="1200" operator="equal">
      <formula>"Bajo"</formula>
    </cfRule>
  </conditionalFormatting>
  <conditionalFormatting sqref="K115">
    <cfRule type="cellIs" dxfId="1013" priority="1192" operator="equal">
      <formula>"Muy Alta"</formula>
    </cfRule>
    <cfRule type="cellIs" dxfId="1012" priority="1193" operator="equal">
      <formula>"Alta"</formula>
    </cfRule>
    <cfRule type="cellIs" dxfId="1011" priority="1194" operator="equal">
      <formula>"Media"</formula>
    </cfRule>
    <cfRule type="cellIs" dxfId="1010" priority="1195" operator="equal">
      <formula>"Baja"</formula>
    </cfRule>
    <cfRule type="cellIs" dxfId="1009" priority="1196" operator="equal">
      <formula>"Muy Baja"</formula>
    </cfRule>
  </conditionalFormatting>
  <conditionalFormatting sqref="O115">
    <cfRule type="cellIs" dxfId="1008" priority="1187" operator="equal">
      <formula>"Catastrófico"</formula>
    </cfRule>
    <cfRule type="cellIs" dxfId="1007" priority="1188" operator="equal">
      <formula>"Mayor"</formula>
    </cfRule>
    <cfRule type="cellIs" dxfId="1006" priority="1189" operator="equal">
      <formula>"Moderado"</formula>
    </cfRule>
    <cfRule type="cellIs" dxfId="1005" priority="1190" operator="equal">
      <formula>"Menor"</formula>
    </cfRule>
    <cfRule type="cellIs" dxfId="1004" priority="1191" operator="equal">
      <formula>"Leve"</formula>
    </cfRule>
  </conditionalFormatting>
  <conditionalFormatting sqref="Q115">
    <cfRule type="cellIs" dxfId="1003" priority="1183" operator="equal">
      <formula>"Extremo"</formula>
    </cfRule>
    <cfRule type="cellIs" dxfId="1002" priority="1184" operator="equal">
      <formula>"Alto"</formula>
    </cfRule>
    <cfRule type="cellIs" dxfId="1001" priority="1185" operator="equal">
      <formula>"Moderado"</formula>
    </cfRule>
    <cfRule type="cellIs" dxfId="1000" priority="1186" operator="equal">
      <formula>"Bajo"</formula>
    </cfRule>
  </conditionalFormatting>
  <conditionalFormatting sqref="N115:N117">
    <cfRule type="containsText" dxfId="999" priority="1182" operator="containsText" text="❌">
      <formula>NOT(ISERROR(SEARCH("❌",N115)))</formula>
    </cfRule>
  </conditionalFormatting>
  <conditionalFormatting sqref="AB118">
    <cfRule type="cellIs" dxfId="998" priority="1177" operator="equal">
      <formula>"Muy Alta"</formula>
    </cfRule>
    <cfRule type="cellIs" dxfId="997" priority="1178" operator="equal">
      <formula>"Alta"</formula>
    </cfRule>
    <cfRule type="cellIs" dxfId="996" priority="1179" operator="equal">
      <formula>"Media"</formula>
    </cfRule>
    <cfRule type="cellIs" dxfId="995" priority="1180" operator="equal">
      <formula>"Baja"</formula>
    </cfRule>
    <cfRule type="cellIs" dxfId="994" priority="1181" operator="equal">
      <formula>"Muy Baja"</formula>
    </cfRule>
  </conditionalFormatting>
  <conditionalFormatting sqref="AD118">
    <cfRule type="cellIs" dxfId="993" priority="1172" operator="equal">
      <formula>"Catastrófico"</formula>
    </cfRule>
    <cfRule type="cellIs" dxfId="992" priority="1173" operator="equal">
      <formula>"Mayor"</formula>
    </cfRule>
    <cfRule type="cellIs" dxfId="991" priority="1174" operator="equal">
      <formula>"Moderado"</formula>
    </cfRule>
    <cfRule type="cellIs" dxfId="990" priority="1175" operator="equal">
      <formula>"Menor"</formula>
    </cfRule>
    <cfRule type="cellIs" dxfId="989" priority="1176" operator="equal">
      <formula>"Leve"</formula>
    </cfRule>
  </conditionalFormatting>
  <conditionalFormatting sqref="AF118">
    <cfRule type="cellIs" dxfId="988" priority="1168" operator="equal">
      <formula>"Extremo"</formula>
    </cfRule>
    <cfRule type="cellIs" dxfId="987" priority="1169" operator="equal">
      <formula>"Alto"</formula>
    </cfRule>
    <cfRule type="cellIs" dxfId="986" priority="1170" operator="equal">
      <formula>"Moderado"</formula>
    </cfRule>
    <cfRule type="cellIs" dxfId="985" priority="1171" operator="equal">
      <formula>"Bajo"</formula>
    </cfRule>
  </conditionalFormatting>
  <conditionalFormatting sqref="AB119">
    <cfRule type="cellIs" dxfId="984" priority="1163" operator="equal">
      <formula>"Muy Alta"</formula>
    </cfRule>
    <cfRule type="cellIs" dxfId="983" priority="1164" operator="equal">
      <formula>"Alta"</formula>
    </cfRule>
    <cfRule type="cellIs" dxfId="982" priority="1165" operator="equal">
      <formula>"Media"</formula>
    </cfRule>
    <cfRule type="cellIs" dxfId="981" priority="1166" operator="equal">
      <formula>"Baja"</formula>
    </cfRule>
    <cfRule type="cellIs" dxfId="980" priority="1167" operator="equal">
      <formula>"Muy Baja"</formula>
    </cfRule>
  </conditionalFormatting>
  <conditionalFormatting sqref="AD119">
    <cfRule type="cellIs" dxfId="979" priority="1158" operator="equal">
      <formula>"Catastrófico"</formula>
    </cfRule>
    <cfRule type="cellIs" dxfId="978" priority="1159" operator="equal">
      <formula>"Mayor"</formula>
    </cfRule>
    <cfRule type="cellIs" dxfId="977" priority="1160" operator="equal">
      <formula>"Moderado"</formula>
    </cfRule>
    <cfRule type="cellIs" dxfId="976" priority="1161" operator="equal">
      <formula>"Menor"</formula>
    </cfRule>
    <cfRule type="cellIs" dxfId="975" priority="1162" operator="equal">
      <formula>"Leve"</formula>
    </cfRule>
  </conditionalFormatting>
  <conditionalFormatting sqref="AF119">
    <cfRule type="cellIs" dxfId="974" priority="1154" operator="equal">
      <formula>"Extremo"</formula>
    </cfRule>
    <cfRule type="cellIs" dxfId="973" priority="1155" operator="equal">
      <formula>"Alto"</formula>
    </cfRule>
    <cfRule type="cellIs" dxfId="972" priority="1156" operator="equal">
      <formula>"Moderado"</formula>
    </cfRule>
    <cfRule type="cellIs" dxfId="971" priority="1157" operator="equal">
      <formula>"Bajo"</formula>
    </cfRule>
  </conditionalFormatting>
  <conditionalFormatting sqref="AB120">
    <cfRule type="cellIs" dxfId="970" priority="1149" operator="equal">
      <formula>"Muy Alta"</formula>
    </cfRule>
    <cfRule type="cellIs" dxfId="969" priority="1150" operator="equal">
      <formula>"Alta"</formula>
    </cfRule>
    <cfRule type="cellIs" dxfId="968" priority="1151" operator="equal">
      <formula>"Media"</formula>
    </cfRule>
    <cfRule type="cellIs" dxfId="967" priority="1152" operator="equal">
      <formula>"Baja"</formula>
    </cfRule>
    <cfRule type="cellIs" dxfId="966" priority="1153" operator="equal">
      <formula>"Muy Baja"</formula>
    </cfRule>
  </conditionalFormatting>
  <conditionalFormatting sqref="AD120">
    <cfRule type="cellIs" dxfId="965" priority="1144" operator="equal">
      <formula>"Catastrófico"</formula>
    </cfRule>
    <cfRule type="cellIs" dxfId="964" priority="1145" operator="equal">
      <formula>"Mayor"</formula>
    </cfRule>
    <cfRule type="cellIs" dxfId="963" priority="1146" operator="equal">
      <formula>"Moderado"</formula>
    </cfRule>
    <cfRule type="cellIs" dxfId="962" priority="1147" operator="equal">
      <formula>"Menor"</formula>
    </cfRule>
    <cfRule type="cellIs" dxfId="961" priority="1148" operator="equal">
      <formula>"Leve"</formula>
    </cfRule>
  </conditionalFormatting>
  <conditionalFormatting sqref="AF120">
    <cfRule type="cellIs" dxfId="960" priority="1140" operator="equal">
      <formula>"Extremo"</formula>
    </cfRule>
    <cfRule type="cellIs" dxfId="959" priority="1141" operator="equal">
      <formula>"Alto"</formula>
    </cfRule>
    <cfRule type="cellIs" dxfId="958" priority="1142" operator="equal">
      <formula>"Moderado"</formula>
    </cfRule>
    <cfRule type="cellIs" dxfId="957" priority="1143" operator="equal">
      <formula>"Bajo"</formula>
    </cfRule>
  </conditionalFormatting>
  <conditionalFormatting sqref="K118">
    <cfRule type="cellIs" dxfId="956" priority="1135" operator="equal">
      <formula>"Muy Alta"</formula>
    </cfRule>
    <cfRule type="cellIs" dxfId="955" priority="1136" operator="equal">
      <formula>"Alta"</formula>
    </cfRule>
    <cfRule type="cellIs" dxfId="954" priority="1137" operator="equal">
      <formula>"Media"</formula>
    </cfRule>
    <cfRule type="cellIs" dxfId="953" priority="1138" operator="equal">
      <formula>"Baja"</formula>
    </cfRule>
    <cfRule type="cellIs" dxfId="952" priority="1139" operator="equal">
      <formula>"Muy Baja"</formula>
    </cfRule>
  </conditionalFormatting>
  <conditionalFormatting sqref="O118">
    <cfRule type="cellIs" dxfId="951" priority="1130" operator="equal">
      <formula>"Catastrófico"</formula>
    </cfRule>
    <cfRule type="cellIs" dxfId="950" priority="1131" operator="equal">
      <formula>"Mayor"</formula>
    </cfRule>
    <cfRule type="cellIs" dxfId="949" priority="1132" operator="equal">
      <formula>"Moderado"</formula>
    </cfRule>
    <cfRule type="cellIs" dxfId="948" priority="1133" operator="equal">
      <formula>"Menor"</formula>
    </cfRule>
    <cfRule type="cellIs" dxfId="947" priority="1134" operator="equal">
      <formula>"Leve"</formula>
    </cfRule>
  </conditionalFormatting>
  <conditionalFormatting sqref="Q118">
    <cfRule type="cellIs" dxfId="946" priority="1126" operator="equal">
      <formula>"Extremo"</formula>
    </cfRule>
    <cfRule type="cellIs" dxfId="945" priority="1127" operator="equal">
      <formula>"Alto"</formula>
    </cfRule>
    <cfRule type="cellIs" dxfId="944" priority="1128" operator="equal">
      <formula>"Moderado"</formula>
    </cfRule>
    <cfRule type="cellIs" dxfId="943" priority="1129" operator="equal">
      <formula>"Bajo"</formula>
    </cfRule>
  </conditionalFormatting>
  <conditionalFormatting sqref="N118:N120">
    <cfRule type="containsText" dxfId="942" priority="1125" operator="containsText" text="❌">
      <formula>NOT(ISERROR(SEARCH("❌",N118)))</formula>
    </cfRule>
  </conditionalFormatting>
  <conditionalFormatting sqref="AB121">
    <cfRule type="cellIs" dxfId="941" priority="1120" operator="equal">
      <formula>"Muy Alta"</formula>
    </cfRule>
    <cfRule type="cellIs" dxfId="940" priority="1121" operator="equal">
      <formula>"Alta"</formula>
    </cfRule>
    <cfRule type="cellIs" dxfId="939" priority="1122" operator="equal">
      <formula>"Media"</formula>
    </cfRule>
    <cfRule type="cellIs" dxfId="938" priority="1123" operator="equal">
      <formula>"Baja"</formula>
    </cfRule>
    <cfRule type="cellIs" dxfId="937" priority="1124" operator="equal">
      <formula>"Muy Baja"</formula>
    </cfRule>
  </conditionalFormatting>
  <conditionalFormatting sqref="AD121">
    <cfRule type="cellIs" dxfId="936" priority="1115" operator="equal">
      <formula>"Catastrófico"</formula>
    </cfRule>
    <cfRule type="cellIs" dxfId="935" priority="1116" operator="equal">
      <formula>"Mayor"</formula>
    </cfRule>
    <cfRule type="cellIs" dxfId="934" priority="1117" operator="equal">
      <formula>"Moderado"</formula>
    </cfRule>
    <cfRule type="cellIs" dxfId="933" priority="1118" operator="equal">
      <formula>"Menor"</formula>
    </cfRule>
    <cfRule type="cellIs" dxfId="932" priority="1119" operator="equal">
      <formula>"Leve"</formula>
    </cfRule>
  </conditionalFormatting>
  <conditionalFormatting sqref="AF121">
    <cfRule type="cellIs" dxfId="931" priority="1111" operator="equal">
      <formula>"Extremo"</formula>
    </cfRule>
    <cfRule type="cellIs" dxfId="930" priority="1112" operator="equal">
      <formula>"Alto"</formula>
    </cfRule>
    <cfRule type="cellIs" dxfId="929" priority="1113" operator="equal">
      <formula>"Moderado"</formula>
    </cfRule>
    <cfRule type="cellIs" dxfId="928" priority="1114" operator="equal">
      <formula>"Bajo"</formula>
    </cfRule>
  </conditionalFormatting>
  <conditionalFormatting sqref="AB122">
    <cfRule type="cellIs" dxfId="927" priority="1106" operator="equal">
      <formula>"Muy Alta"</formula>
    </cfRule>
    <cfRule type="cellIs" dxfId="926" priority="1107" operator="equal">
      <formula>"Alta"</formula>
    </cfRule>
    <cfRule type="cellIs" dxfId="925" priority="1108" operator="equal">
      <formula>"Media"</formula>
    </cfRule>
    <cfRule type="cellIs" dxfId="924" priority="1109" operator="equal">
      <formula>"Baja"</formula>
    </cfRule>
    <cfRule type="cellIs" dxfId="923" priority="1110" operator="equal">
      <formula>"Muy Baja"</formula>
    </cfRule>
  </conditionalFormatting>
  <conditionalFormatting sqref="AD122">
    <cfRule type="cellIs" dxfId="922" priority="1101" operator="equal">
      <formula>"Catastrófico"</formula>
    </cfRule>
    <cfRule type="cellIs" dxfId="921" priority="1102" operator="equal">
      <formula>"Mayor"</formula>
    </cfRule>
    <cfRule type="cellIs" dxfId="920" priority="1103" operator="equal">
      <formula>"Moderado"</formula>
    </cfRule>
    <cfRule type="cellIs" dxfId="919" priority="1104" operator="equal">
      <formula>"Menor"</formula>
    </cfRule>
    <cfRule type="cellIs" dxfId="918" priority="1105" operator="equal">
      <formula>"Leve"</formula>
    </cfRule>
  </conditionalFormatting>
  <conditionalFormatting sqref="AF122">
    <cfRule type="cellIs" dxfId="917" priority="1097" operator="equal">
      <formula>"Extremo"</formula>
    </cfRule>
    <cfRule type="cellIs" dxfId="916" priority="1098" operator="equal">
      <formula>"Alto"</formula>
    </cfRule>
    <cfRule type="cellIs" dxfId="915" priority="1099" operator="equal">
      <formula>"Moderado"</formula>
    </cfRule>
    <cfRule type="cellIs" dxfId="914" priority="1100" operator="equal">
      <formula>"Bajo"</formula>
    </cfRule>
  </conditionalFormatting>
  <conditionalFormatting sqref="AB123:AB126">
    <cfRule type="cellIs" dxfId="913" priority="1092" operator="equal">
      <formula>"Muy Alta"</formula>
    </cfRule>
    <cfRule type="cellIs" dxfId="912" priority="1093" operator="equal">
      <formula>"Alta"</formula>
    </cfRule>
    <cfRule type="cellIs" dxfId="911" priority="1094" operator="equal">
      <formula>"Media"</formula>
    </cfRule>
    <cfRule type="cellIs" dxfId="910" priority="1095" operator="equal">
      <formula>"Baja"</formula>
    </cfRule>
    <cfRule type="cellIs" dxfId="909" priority="1096" operator="equal">
      <formula>"Muy Baja"</formula>
    </cfRule>
  </conditionalFormatting>
  <conditionalFormatting sqref="AD123:AD126">
    <cfRule type="cellIs" dxfId="908" priority="1087" operator="equal">
      <formula>"Catastrófico"</formula>
    </cfRule>
    <cfRule type="cellIs" dxfId="907" priority="1088" operator="equal">
      <formula>"Mayor"</formula>
    </cfRule>
    <cfRule type="cellIs" dxfId="906" priority="1089" operator="equal">
      <formula>"Moderado"</formula>
    </cfRule>
    <cfRule type="cellIs" dxfId="905" priority="1090" operator="equal">
      <formula>"Menor"</formula>
    </cfRule>
    <cfRule type="cellIs" dxfId="904" priority="1091" operator="equal">
      <formula>"Leve"</formula>
    </cfRule>
  </conditionalFormatting>
  <conditionalFormatting sqref="AF123:AF126">
    <cfRule type="cellIs" dxfId="903" priority="1083" operator="equal">
      <formula>"Extremo"</formula>
    </cfRule>
    <cfRule type="cellIs" dxfId="902" priority="1084" operator="equal">
      <formula>"Alto"</formula>
    </cfRule>
    <cfRule type="cellIs" dxfId="901" priority="1085" operator="equal">
      <formula>"Moderado"</formula>
    </cfRule>
    <cfRule type="cellIs" dxfId="900" priority="1086" operator="equal">
      <formula>"Bajo"</formula>
    </cfRule>
  </conditionalFormatting>
  <conditionalFormatting sqref="K121">
    <cfRule type="cellIs" dxfId="899" priority="1078" operator="equal">
      <formula>"Muy Alta"</formula>
    </cfRule>
    <cfRule type="cellIs" dxfId="898" priority="1079" operator="equal">
      <formula>"Alta"</formula>
    </cfRule>
    <cfRule type="cellIs" dxfId="897" priority="1080" operator="equal">
      <formula>"Media"</formula>
    </cfRule>
    <cfRule type="cellIs" dxfId="896" priority="1081" operator="equal">
      <formula>"Baja"</formula>
    </cfRule>
    <cfRule type="cellIs" dxfId="895" priority="1082" operator="equal">
      <formula>"Muy Baja"</formula>
    </cfRule>
  </conditionalFormatting>
  <conditionalFormatting sqref="O121">
    <cfRule type="cellIs" dxfId="894" priority="1073" operator="equal">
      <formula>"Catastrófico"</formula>
    </cfRule>
    <cfRule type="cellIs" dxfId="893" priority="1074" operator="equal">
      <formula>"Mayor"</formula>
    </cfRule>
    <cfRule type="cellIs" dxfId="892" priority="1075" operator="equal">
      <formula>"Moderado"</formula>
    </cfRule>
    <cfRule type="cellIs" dxfId="891" priority="1076" operator="equal">
      <formula>"Menor"</formula>
    </cfRule>
    <cfRule type="cellIs" dxfId="890" priority="1077" operator="equal">
      <formula>"Leve"</formula>
    </cfRule>
  </conditionalFormatting>
  <conditionalFormatting sqref="Q121">
    <cfRule type="cellIs" dxfId="889" priority="1069" operator="equal">
      <formula>"Extremo"</formula>
    </cfRule>
    <cfRule type="cellIs" dxfId="888" priority="1070" operator="equal">
      <formula>"Alto"</formula>
    </cfRule>
    <cfRule type="cellIs" dxfId="887" priority="1071" operator="equal">
      <formula>"Moderado"</formula>
    </cfRule>
    <cfRule type="cellIs" dxfId="886" priority="1072" operator="equal">
      <formula>"Bajo"</formula>
    </cfRule>
  </conditionalFormatting>
  <conditionalFormatting sqref="N121:N126">
    <cfRule type="containsText" dxfId="885" priority="1068" operator="containsText" text="❌">
      <formula>NOT(ISERROR(SEARCH("❌",N121)))</formula>
    </cfRule>
  </conditionalFormatting>
  <conditionalFormatting sqref="AB127">
    <cfRule type="cellIs" dxfId="884" priority="1063" operator="equal">
      <formula>"Muy Alta"</formula>
    </cfRule>
    <cfRule type="cellIs" dxfId="883" priority="1064" operator="equal">
      <formula>"Alta"</formula>
    </cfRule>
    <cfRule type="cellIs" dxfId="882" priority="1065" operator="equal">
      <formula>"Media"</formula>
    </cfRule>
    <cfRule type="cellIs" dxfId="881" priority="1066" operator="equal">
      <formula>"Baja"</formula>
    </cfRule>
    <cfRule type="cellIs" dxfId="880" priority="1067" operator="equal">
      <formula>"Muy Baja"</formula>
    </cfRule>
  </conditionalFormatting>
  <conditionalFormatting sqref="AD127">
    <cfRule type="cellIs" dxfId="879" priority="1058" operator="equal">
      <formula>"Catastrófico"</formula>
    </cfRule>
    <cfRule type="cellIs" dxfId="878" priority="1059" operator="equal">
      <formula>"Mayor"</formula>
    </cfRule>
    <cfRule type="cellIs" dxfId="877" priority="1060" operator="equal">
      <formula>"Moderado"</formula>
    </cfRule>
    <cfRule type="cellIs" dxfId="876" priority="1061" operator="equal">
      <formula>"Menor"</formula>
    </cfRule>
    <cfRule type="cellIs" dxfId="875" priority="1062" operator="equal">
      <formula>"Leve"</formula>
    </cfRule>
  </conditionalFormatting>
  <conditionalFormatting sqref="AF127">
    <cfRule type="cellIs" dxfId="874" priority="1054" operator="equal">
      <formula>"Extremo"</formula>
    </cfRule>
    <cfRule type="cellIs" dxfId="873" priority="1055" operator="equal">
      <formula>"Alto"</formula>
    </cfRule>
    <cfRule type="cellIs" dxfId="872" priority="1056" operator="equal">
      <formula>"Moderado"</formula>
    </cfRule>
    <cfRule type="cellIs" dxfId="871" priority="1057" operator="equal">
      <formula>"Bajo"</formula>
    </cfRule>
  </conditionalFormatting>
  <conditionalFormatting sqref="AB128">
    <cfRule type="cellIs" dxfId="870" priority="1049" operator="equal">
      <formula>"Muy Alta"</formula>
    </cfRule>
    <cfRule type="cellIs" dxfId="869" priority="1050" operator="equal">
      <formula>"Alta"</formula>
    </cfRule>
    <cfRule type="cellIs" dxfId="868" priority="1051" operator="equal">
      <formula>"Media"</formula>
    </cfRule>
    <cfRule type="cellIs" dxfId="867" priority="1052" operator="equal">
      <formula>"Baja"</formula>
    </cfRule>
    <cfRule type="cellIs" dxfId="866" priority="1053" operator="equal">
      <formula>"Muy Baja"</formula>
    </cfRule>
  </conditionalFormatting>
  <conditionalFormatting sqref="AD128">
    <cfRule type="cellIs" dxfId="865" priority="1044" operator="equal">
      <formula>"Catastrófico"</formula>
    </cfRule>
    <cfRule type="cellIs" dxfId="864" priority="1045" operator="equal">
      <formula>"Mayor"</formula>
    </cfRule>
    <cfRule type="cellIs" dxfId="863" priority="1046" operator="equal">
      <formula>"Moderado"</formula>
    </cfRule>
    <cfRule type="cellIs" dxfId="862" priority="1047" operator="equal">
      <formula>"Menor"</formula>
    </cfRule>
    <cfRule type="cellIs" dxfId="861" priority="1048" operator="equal">
      <formula>"Leve"</formula>
    </cfRule>
  </conditionalFormatting>
  <conditionalFormatting sqref="AF128">
    <cfRule type="cellIs" dxfId="860" priority="1040" operator="equal">
      <formula>"Extremo"</formula>
    </cfRule>
    <cfRule type="cellIs" dxfId="859" priority="1041" operator="equal">
      <formula>"Alto"</formula>
    </cfRule>
    <cfRule type="cellIs" dxfId="858" priority="1042" operator="equal">
      <formula>"Moderado"</formula>
    </cfRule>
    <cfRule type="cellIs" dxfId="857" priority="1043" operator="equal">
      <formula>"Bajo"</formula>
    </cfRule>
  </conditionalFormatting>
  <conditionalFormatting sqref="AB129">
    <cfRule type="cellIs" dxfId="856" priority="1035" operator="equal">
      <formula>"Muy Alta"</formula>
    </cfRule>
    <cfRule type="cellIs" dxfId="855" priority="1036" operator="equal">
      <formula>"Alta"</formula>
    </cfRule>
    <cfRule type="cellIs" dxfId="854" priority="1037" operator="equal">
      <formula>"Media"</formula>
    </cfRule>
    <cfRule type="cellIs" dxfId="853" priority="1038" operator="equal">
      <formula>"Baja"</formula>
    </cfRule>
    <cfRule type="cellIs" dxfId="852" priority="1039" operator="equal">
      <formula>"Muy Baja"</formula>
    </cfRule>
  </conditionalFormatting>
  <conditionalFormatting sqref="AD129">
    <cfRule type="cellIs" dxfId="851" priority="1030" operator="equal">
      <formula>"Catastrófico"</formula>
    </cfRule>
    <cfRule type="cellIs" dxfId="850" priority="1031" operator="equal">
      <formula>"Mayor"</formula>
    </cfRule>
    <cfRule type="cellIs" dxfId="849" priority="1032" operator="equal">
      <formula>"Moderado"</formula>
    </cfRule>
    <cfRule type="cellIs" dxfId="848" priority="1033" operator="equal">
      <formula>"Menor"</formula>
    </cfRule>
    <cfRule type="cellIs" dxfId="847" priority="1034" operator="equal">
      <formula>"Leve"</formula>
    </cfRule>
  </conditionalFormatting>
  <conditionalFormatting sqref="AF129">
    <cfRule type="cellIs" dxfId="846" priority="1026" operator="equal">
      <formula>"Extremo"</formula>
    </cfRule>
    <cfRule type="cellIs" dxfId="845" priority="1027" operator="equal">
      <formula>"Alto"</formula>
    </cfRule>
    <cfRule type="cellIs" dxfId="844" priority="1028" operator="equal">
      <formula>"Moderado"</formula>
    </cfRule>
    <cfRule type="cellIs" dxfId="843" priority="1029" operator="equal">
      <formula>"Bajo"</formula>
    </cfRule>
  </conditionalFormatting>
  <conditionalFormatting sqref="K127">
    <cfRule type="cellIs" dxfId="842" priority="1021" operator="equal">
      <formula>"Muy Alta"</formula>
    </cfRule>
    <cfRule type="cellIs" dxfId="841" priority="1022" operator="equal">
      <formula>"Alta"</formula>
    </cfRule>
    <cfRule type="cellIs" dxfId="840" priority="1023" operator="equal">
      <formula>"Media"</formula>
    </cfRule>
    <cfRule type="cellIs" dxfId="839" priority="1024" operator="equal">
      <formula>"Baja"</formula>
    </cfRule>
    <cfRule type="cellIs" dxfId="838" priority="1025" operator="equal">
      <formula>"Muy Baja"</formula>
    </cfRule>
  </conditionalFormatting>
  <conditionalFormatting sqref="O127">
    <cfRule type="cellIs" dxfId="837" priority="1016" operator="equal">
      <formula>"Catastrófico"</formula>
    </cfRule>
    <cfRule type="cellIs" dxfId="836" priority="1017" operator="equal">
      <formula>"Mayor"</formula>
    </cfRule>
    <cfRule type="cellIs" dxfId="835" priority="1018" operator="equal">
      <formula>"Moderado"</formula>
    </cfRule>
    <cfRule type="cellIs" dxfId="834" priority="1019" operator="equal">
      <formula>"Menor"</formula>
    </cfRule>
    <cfRule type="cellIs" dxfId="833" priority="1020" operator="equal">
      <formula>"Leve"</formula>
    </cfRule>
  </conditionalFormatting>
  <conditionalFormatting sqref="Q127">
    <cfRule type="cellIs" dxfId="832" priority="1012" operator="equal">
      <formula>"Extremo"</formula>
    </cfRule>
    <cfRule type="cellIs" dxfId="831" priority="1013" operator="equal">
      <formula>"Alto"</formula>
    </cfRule>
    <cfRule type="cellIs" dxfId="830" priority="1014" operator="equal">
      <formula>"Moderado"</formula>
    </cfRule>
    <cfRule type="cellIs" dxfId="829" priority="1015" operator="equal">
      <formula>"Bajo"</formula>
    </cfRule>
  </conditionalFormatting>
  <conditionalFormatting sqref="N127:N129">
    <cfRule type="containsText" dxfId="828" priority="1011" operator="containsText" text="❌">
      <formula>NOT(ISERROR(SEARCH("❌",N127)))</formula>
    </cfRule>
  </conditionalFormatting>
  <conditionalFormatting sqref="AB127:AB129">
    <cfRule type="cellIs" dxfId="827" priority="1006" operator="equal">
      <formula>"Muy Alta"</formula>
    </cfRule>
    <cfRule type="cellIs" dxfId="826" priority="1007" operator="equal">
      <formula>"Alta"</formula>
    </cfRule>
    <cfRule type="cellIs" dxfId="825" priority="1008" operator="equal">
      <formula>"Media"</formula>
    </cfRule>
    <cfRule type="cellIs" dxfId="824" priority="1009" operator="equal">
      <formula>"Baja"</formula>
    </cfRule>
    <cfRule type="cellIs" dxfId="823" priority="1010" operator="equal">
      <formula>"Muy Baja"</formula>
    </cfRule>
  </conditionalFormatting>
  <conditionalFormatting sqref="AD127:AD129">
    <cfRule type="cellIs" dxfId="822" priority="1001" operator="equal">
      <formula>"Catastrófico"</formula>
    </cfRule>
    <cfRule type="cellIs" dxfId="821" priority="1002" operator="equal">
      <formula>"Mayor"</formula>
    </cfRule>
    <cfRule type="cellIs" dxfId="820" priority="1003" operator="equal">
      <formula>"Moderado"</formula>
    </cfRule>
    <cfRule type="cellIs" dxfId="819" priority="1004" operator="equal">
      <formula>"Menor"</formula>
    </cfRule>
    <cfRule type="cellIs" dxfId="818" priority="1005" operator="equal">
      <formula>"Leve"</formula>
    </cfRule>
  </conditionalFormatting>
  <conditionalFormatting sqref="AF127:AF129">
    <cfRule type="cellIs" dxfId="817" priority="997" operator="equal">
      <formula>"Extremo"</formula>
    </cfRule>
    <cfRule type="cellIs" dxfId="816" priority="998" operator="equal">
      <formula>"Alto"</formula>
    </cfRule>
    <cfRule type="cellIs" dxfId="815" priority="999" operator="equal">
      <formula>"Moderado"</formula>
    </cfRule>
    <cfRule type="cellIs" dxfId="814" priority="1000" operator="equal">
      <formula>"Bajo"</formula>
    </cfRule>
  </conditionalFormatting>
  <conditionalFormatting sqref="N127:N129">
    <cfRule type="containsText" dxfId="813" priority="996" operator="containsText" text="❌">
      <formula>NOT(ISERROR(SEARCH("❌",N127)))</formula>
    </cfRule>
  </conditionalFormatting>
  <conditionalFormatting sqref="AB130">
    <cfRule type="cellIs" dxfId="812" priority="991" operator="equal">
      <formula>"Muy Alta"</formula>
    </cfRule>
    <cfRule type="cellIs" dxfId="811" priority="992" operator="equal">
      <formula>"Alta"</formula>
    </cfRule>
    <cfRule type="cellIs" dxfId="810" priority="993" operator="equal">
      <formula>"Media"</formula>
    </cfRule>
    <cfRule type="cellIs" dxfId="809" priority="994" operator="equal">
      <formula>"Baja"</formula>
    </cfRule>
    <cfRule type="cellIs" dxfId="808" priority="995" operator="equal">
      <formula>"Muy Baja"</formula>
    </cfRule>
  </conditionalFormatting>
  <conditionalFormatting sqref="AD130">
    <cfRule type="cellIs" dxfId="807" priority="986" operator="equal">
      <formula>"Catastrófico"</formula>
    </cfRule>
    <cfRule type="cellIs" dxfId="806" priority="987" operator="equal">
      <formula>"Mayor"</formula>
    </cfRule>
    <cfRule type="cellIs" dxfId="805" priority="988" operator="equal">
      <formula>"Moderado"</formula>
    </cfRule>
    <cfRule type="cellIs" dxfId="804" priority="989" operator="equal">
      <formula>"Menor"</formula>
    </cfRule>
    <cfRule type="cellIs" dxfId="803" priority="990" operator="equal">
      <formula>"Leve"</formula>
    </cfRule>
  </conditionalFormatting>
  <conditionalFormatting sqref="AF130">
    <cfRule type="cellIs" dxfId="802" priority="982" operator="equal">
      <formula>"Extremo"</formula>
    </cfRule>
    <cfRule type="cellIs" dxfId="801" priority="983" operator="equal">
      <formula>"Alto"</formula>
    </cfRule>
    <cfRule type="cellIs" dxfId="800" priority="984" operator="equal">
      <formula>"Moderado"</formula>
    </cfRule>
    <cfRule type="cellIs" dxfId="799" priority="985" operator="equal">
      <formula>"Bajo"</formula>
    </cfRule>
  </conditionalFormatting>
  <conditionalFormatting sqref="AB131">
    <cfRule type="cellIs" dxfId="798" priority="977" operator="equal">
      <formula>"Muy Alta"</formula>
    </cfRule>
    <cfRule type="cellIs" dxfId="797" priority="978" operator="equal">
      <formula>"Alta"</formula>
    </cfRule>
    <cfRule type="cellIs" dxfId="796" priority="979" operator="equal">
      <formula>"Media"</formula>
    </cfRule>
    <cfRule type="cellIs" dxfId="795" priority="980" operator="equal">
      <formula>"Baja"</formula>
    </cfRule>
    <cfRule type="cellIs" dxfId="794" priority="981" operator="equal">
      <formula>"Muy Baja"</formula>
    </cfRule>
  </conditionalFormatting>
  <conditionalFormatting sqref="AD131">
    <cfRule type="cellIs" dxfId="793" priority="972" operator="equal">
      <formula>"Catastrófico"</formula>
    </cfRule>
    <cfRule type="cellIs" dxfId="792" priority="973" operator="equal">
      <formula>"Mayor"</formula>
    </cfRule>
    <cfRule type="cellIs" dxfId="791" priority="974" operator="equal">
      <formula>"Moderado"</formula>
    </cfRule>
    <cfRule type="cellIs" dxfId="790" priority="975" operator="equal">
      <formula>"Menor"</formula>
    </cfRule>
    <cfRule type="cellIs" dxfId="789" priority="976" operator="equal">
      <formula>"Leve"</formula>
    </cfRule>
  </conditionalFormatting>
  <conditionalFormatting sqref="AF131">
    <cfRule type="cellIs" dxfId="788" priority="968" operator="equal">
      <formula>"Extremo"</formula>
    </cfRule>
    <cfRule type="cellIs" dxfId="787" priority="969" operator="equal">
      <formula>"Alto"</formula>
    </cfRule>
    <cfRule type="cellIs" dxfId="786" priority="970" operator="equal">
      <formula>"Moderado"</formula>
    </cfRule>
    <cfRule type="cellIs" dxfId="785" priority="971" operator="equal">
      <formula>"Bajo"</formula>
    </cfRule>
  </conditionalFormatting>
  <conditionalFormatting sqref="AB132">
    <cfRule type="cellIs" dxfId="784" priority="963" operator="equal">
      <formula>"Muy Alta"</formula>
    </cfRule>
    <cfRule type="cellIs" dxfId="783" priority="964" operator="equal">
      <formula>"Alta"</formula>
    </cfRule>
    <cfRule type="cellIs" dxfId="782" priority="965" operator="equal">
      <formula>"Media"</formula>
    </cfRule>
    <cfRule type="cellIs" dxfId="781" priority="966" operator="equal">
      <formula>"Baja"</formula>
    </cfRule>
    <cfRule type="cellIs" dxfId="780" priority="967" operator="equal">
      <formula>"Muy Baja"</formula>
    </cfRule>
  </conditionalFormatting>
  <conditionalFormatting sqref="AD132">
    <cfRule type="cellIs" dxfId="779" priority="958" operator="equal">
      <formula>"Catastrófico"</formula>
    </cfRule>
    <cfRule type="cellIs" dxfId="778" priority="959" operator="equal">
      <formula>"Mayor"</formula>
    </cfRule>
    <cfRule type="cellIs" dxfId="777" priority="960" operator="equal">
      <formula>"Moderado"</formula>
    </cfRule>
    <cfRule type="cellIs" dxfId="776" priority="961" operator="equal">
      <formula>"Menor"</formula>
    </cfRule>
    <cfRule type="cellIs" dxfId="775" priority="962" operator="equal">
      <formula>"Leve"</formula>
    </cfRule>
  </conditionalFormatting>
  <conditionalFormatting sqref="AF132">
    <cfRule type="cellIs" dxfId="774" priority="954" operator="equal">
      <formula>"Extremo"</formula>
    </cfRule>
    <cfRule type="cellIs" dxfId="773" priority="955" operator="equal">
      <formula>"Alto"</formula>
    </cfRule>
    <cfRule type="cellIs" dxfId="772" priority="956" operator="equal">
      <formula>"Moderado"</formula>
    </cfRule>
    <cfRule type="cellIs" dxfId="771" priority="957" operator="equal">
      <formula>"Bajo"</formula>
    </cfRule>
  </conditionalFormatting>
  <conditionalFormatting sqref="K130">
    <cfRule type="cellIs" dxfId="770" priority="949" operator="equal">
      <formula>"Muy Alta"</formula>
    </cfRule>
    <cfRule type="cellIs" dxfId="769" priority="950" operator="equal">
      <formula>"Alta"</formula>
    </cfRule>
    <cfRule type="cellIs" dxfId="768" priority="951" operator="equal">
      <formula>"Media"</formula>
    </cfRule>
    <cfRule type="cellIs" dxfId="767" priority="952" operator="equal">
      <formula>"Baja"</formula>
    </cfRule>
    <cfRule type="cellIs" dxfId="766" priority="953" operator="equal">
      <formula>"Muy Baja"</formula>
    </cfRule>
  </conditionalFormatting>
  <conditionalFormatting sqref="O130">
    <cfRule type="cellIs" dxfId="765" priority="944" operator="equal">
      <formula>"Catastrófico"</formula>
    </cfRule>
    <cfRule type="cellIs" dxfId="764" priority="945" operator="equal">
      <formula>"Mayor"</formula>
    </cfRule>
    <cfRule type="cellIs" dxfId="763" priority="946" operator="equal">
      <formula>"Moderado"</formula>
    </cfRule>
    <cfRule type="cellIs" dxfId="762" priority="947" operator="equal">
      <formula>"Menor"</formula>
    </cfRule>
    <cfRule type="cellIs" dxfId="761" priority="948" operator="equal">
      <formula>"Leve"</formula>
    </cfRule>
  </conditionalFormatting>
  <conditionalFormatting sqref="Q130">
    <cfRule type="cellIs" dxfId="760" priority="940" operator="equal">
      <formula>"Extremo"</formula>
    </cfRule>
    <cfRule type="cellIs" dxfId="759" priority="941" operator="equal">
      <formula>"Alto"</formula>
    </cfRule>
    <cfRule type="cellIs" dxfId="758" priority="942" operator="equal">
      <formula>"Moderado"</formula>
    </cfRule>
    <cfRule type="cellIs" dxfId="757" priority="943" operator="equal">
      <formula>"Bajo"</formula>
    </cfRule>
  </conditionalFormatting>
  <conditionalFormatting sqref="N130:N132">
    <cfRule type="containsText" dxfId="756" priority="939" operator="containsText" text="❌">
      <formula>NOT(ISERROR(SEARCH("❌",N130)))</formula>
    </cfRule>
  </conditionalFormatting>
  <conditionalFormatting sqref="AB130:AB132">
    <cfRule type="cellIs" dxfId="755" priority="934" operator="equal">
      <formula>"Muy Alta"</formula>
    </cfRule>
    <cfRule type="cellIs" dxfId="754" priority="935" operator="equal">
      <formula>"Alta"</formula>
    </cfRule>
    <cfRule type="cellIs" dxfId="753" priority="936" operator="equal">
      <formula>"Media"</formula>
    </cfRule>
    <cfRule type="cellIs" dxfId="752" priority="937" operator="equal">
      <formula>"Baja"</formula>
    </cfRule>
    <cfRule type="cellIs" dxfId="751" priority="938" operator="equal">
      <formula>"Muy Baja"</formula>
    </cfRule>
  </conditionalFormatting>
  <conditionalFormatting sqref="AD130:AD132">
    <cfRule type="cellIs" dxfId="750" priority="929" operator="equal">
      <formula>"Catastrófico"</formula>
    </cfRule>
    <cfRule type="cellIs" dxfId="749" priority="930" operator="equal">
      <formula>"Mayor"</formula>
    </cfRule>
    <cfRule type="cellIs" dxfId="748" priority="931" operator="equal">
      <formula>"Moderado"</formula>
    </cfRule>
    <cfRule type="cellIs" dxfId="747" priority="932" operator="equal">
      <formula>"Menor"</formula>
    </cfRule>
    <cfRule type="cellIs" dxfId="746" priority="933" operator="equal">
      <formula>"Leve"</formula>
    </cfRule>
  </conditionalFormatting>
  <conditionalFormatting sqref="AF130:AF132">
    <cfRule type="cellIs" dxfId="745" priority="925" operator="equal">
      <formula>"Extremo"</formula>
    </cfRule>
    <cfRule type="cellIs" dxfId="744" priority="926" operator="equal">
      <formula>"Alto"</formula>
    </cfRule>
    <cfRule type="cellIs" dxfId="743" priority="927" operator="equal">
      <formula>"Moderado"</formula>
    </cfRule>
    <cfRule type="cellIs" dxfId="742" priority="928" operator="equal">
      <formula>"Bajo"</formula>
    </cfRule>
  </conditionalFormatting>
  <conditionalFormatting sqref="N130:N132">
    <cfRule type="containsText" dxfId="741" priority="924" operator="containsText" text="❌">
      <formula>NOT(ISERROR(SEARCH("❌",N130)))</formula>
    </cfRule>
  </conditionalFormatting>
  <conditionalFormatting sqref="AB133">
    <cfRule type="cellIs" dxfId="740" priority="919" operator="equal">
      <formula>"Muy Alta"</formula>
    </cfRule>
    <cfRule type="cellIs" dxfId="739" priority="920" operator="equal">
      <formula>"Alta"</formula>
    </cfRule>
    <cfRule type="cellIs" dxfId="738" priority="921" operator="equal">
      <formula>"Media"</formula>
    </cfRule>
    <cfRule type="cellIs" dxfId="737" priority="922" operator="equal">
      <formula>"Baja"</formula>
    </cfRule>
    <cfRule type="cellIs" dxfId="736" priority="923" operator="equal">
      <formula>"Muy Baja"</formula>
    </cfRule>
  </conditionalFormatting>
  <conditionalFormatting sqref="AD133">
    <cfRule type="cellIs" dxfId="735" priority="914" operator="equal">
      <formula>"Catastrófico"</formula>
    </cfRule>
    <cfRule type="cellIs" dxfId="734" priority="915" operator="equal">
      <formula>"Mayor"</formula>
    </cfRule>
    <cfRule type="cellIs" dxfId="733" priority="916" operator="equal">
      <formula>"Moderado"</formula>
    </cfRule>
    <cfRule type="cellIs" dxfId="732" priority="917" operator="equal">
      <formula>"Menor"</formula>
    </cfRule>
    <cfRule type="cellIs" dxfId="731" priority="918" operator="equal">
      <formula>"Leve"</formula>
    </cfRule>
  </conditionalFormatting>
  <conditionalFormatting sqref="AF133">
    <cfRule type="cellIs" dxfId="730" priority="910" operator="equal">
      <formula>"Extremo"</formula>
    </cfRule>
    <cfRule type="cellIs" dxfId="729" priority="911" operator="equal">
      <formula>"Alto"</formula>
    </cfRule>
    <cfRule type="cellIs" dxfId="728" priority="912" operator="equal">
      <formula>"Moderado"</formula>
    </cfRule>
    <cfRule type="cellIs" dxfId="727" priority="913" operator="equal">
      <formula>"Bajo"</formula>
    </cfRule>
  </conditionalFormatting>
  <conditionalFormatting sqref="AB134">
    <cfRule type="cellIs" dxfId="726" priority="905" operator="equal">
      <formula>"Muy Alta"</formula>
    </cfRule>
    <cfRule type="cellIs" dxfId="725" priority="906" operator="equal">
      <formula>"Alta"</formula>
    </cfRule>
    <cfRule type="cellIs" dxfId="724" priority="907" operator="equal">
      <formula>"Media"</formula>
    </cfRule>
    <cfRule type="cellIs" dxfId="723" priority="908" operator="equal">
      <formula>"Baja"</formula>
    </cfRule>
    <cfRule type="cellIs" dxfId="722" priority="909" operator="equal">
      <formula>"Muy Baja"</formula>
    </cfRule>
  </conditionalFormatting>
  <conditionalFormatting sqref="AD134">
    <cfRule type="cellIs" dxfId="721" priority="900" operator="equal">
      <formula>"Catastrófico"</formula>
    </cfRule>
    <cfRule type="cellIs" dxfId="720" priority="901" operator="equal">
      <formula>"Mayor"</formula>
    </cfRule>
    <cfRule type="cellIs" dxfId="719" priority="902" operator="equal">
      <formula>"Moderado"</formula>
    </cfRule>
    <cfRule type="cellIs" dxfId="718" priority="903" operator="equal">
      <formula>"Menor"</formula>
    </cfRule>
    <cfRule type="cellIs" dxfId="717" priority="904" operator="equal">
      <formula>"Leve"</formula>
    </cfRule>
  </conditionalFormatting>
  <conditionalFormatting sqref="AF134">
    <cfRule type="cellIs" dxfId="716" priority="896" operator="equal">
      <formula>"Extremo"</formula>
    </cfRule>
    <cfRule type="cellIs" dxfId="715" priority="897" operator="equal">
      <formula>"Alto"</formula>
    </cfRule>
    <cfRule type="cellIs" dxfId="714" priority="898" operator="equal">
      <formula>"Moderado"</formula>
    </cfRule>
    <cfRule type="cellIs" dxfId="713" priority="899" operator="equal">
      <formula>"Bajo"</formula>
    </cfRule>
  </conditionalFormatting>
  <conditionalFormatting sqref="AB135">
    <cfRule type="cellIs" dxfId="712" priority="891" operator="equal">
      <formula>"Muy Alta"</formula>
    </cfRule>
    <cfRule type="cellIs" dxfId="711" priority="892" operator="equal">
      <formula>"Alta"</formula>
    </cfRule>
    <cfRule type="cellIs" dxfId="710" priority="893" operator="equal">
      <formula>"Media"</formula>
    </cfRule>
    <cfRule type="cellIs" dxfId="709" priority="894" operator="equal">
      <formula>"Baja"</formula>
    </cfRule>
    <cfRule type="cellIs" dxfId="708" priority="895" operator="equal">
      <formula>"Muy Baja"</formula>
    </cfRule>
  </conditionalFormatting>
  <conditionalFormatting sqref="AD135">
    <cfRule type="cellIs" dxfId="707" priority="886" operator="equal">
      <formula>"Catastrófico"</formula>
    </cfRule>
    <cfRule type="cellIs" dxfId="706" priority="887" operator="equal">
      <formula>"Mayor"</formula>
    </cfRule>
    <cfRule type="cellIs" dxfId="705" priority="888" operator="equal">
      <formula>"Moderado"</formula>
    </cfRule>
    <cfRule type="cellIs" dxfId="704" priority="889" operator="equal">
      <formula>"Menor"</formula>
    </cfRule>
    <cfRule type="cellIs" dxfId="703" priority="890" operator="equal">
      <formula>"Leve"</formula>
    </cfRule>
  </conditionalFormatting>
  <conditionalFormatting sqref="AF135">
    <cfRule type="cellIs" dxfId="702" priority="882" operator="equal">
      <formula>"Extremo"</formula>
    </cfRule>
    <cfRule type="cellIs" dxfId="701" priority="883" operator="equal">
      <formula>"Alto"</formula>
    </cfRule>
    <cfRule type="cellIs" dxfId="700" priority="884" operator="equal">
      <formula>"Moderado"</formula>
    </cfRule>
    <cfRule type="cellIs" dxfId="699" priority="885" operator="equal">
      <formula>"Bajo"</formula>
    </cfRule>
  </conditionalFormatting>
  <conditionalFormatting sqref="K133">
    <cfRule type="cellIs" dxfId="698" priority="877" operator="equal">
      <formula>"Muy Alta"</formula>
    </cfRule>
    <cfRule type="cellIs" dxfId="697" priority="878" operator="equal">
      <formula>"Alta"</formula>
    </cfRule>
    <cfRule type="cellIs" dxfId="696" priority="879" operator="equal">
      <formula>"Media"</formula>
    </cfRule>
    <cfRule type="cellIs" dxfId="695" priority="880" operator="equal">
      <formula>"Baja"</formula>
    </cfRule>
    <cfRule type="cellIs" dxfId="694" priority="881" operator="equal">
      <formula>"Muy Baja"</formula>
    </cfRule>
  </conditionalFormatting>
  <conditionalFormatting sqref="O133">
    <cfRule type="cellIs" dxfId="693" priority="872" operator="equal">
      <formula>"Catastrófico"</formula>
    </cfRule>
    <cfRule type="cellIs" dxfId="692" priority="873" operator="equal">
      <formula>"Mayor"</formula>
    </cfRule>
    <cfRule type="cellIs" dxfId="691" priority="874" operator="equal">
      <formula>"Moderado"</formula>
    </cfRule>
    <cfRule type="cellIs" dxfId="690" priority="875" operator="equal">
      <formula>"Menor"</formula>
    </cfRule>
    <cfRule type="cellIs" dxfId="689" priority="876" operator="equal">
      <formula>"Leve"</formula>
    </cfRule>
  </conditionalFormatting>
  <conditionalFormatting sqref="Q133">
    <cfRule type="cellIs" dxfId="688" priority="868" operator="equal">
      <formula>"Extremo"</formula>
    </cfRule>
    <cfRule type="cellIs" dxfId="687" priority="869" operator="equal">
      <formula>"Alto"</formula>
    </cfRule>
    <cfRule type="cellIs" dxfId="686" priority="870" operator="equal">
      <formula>"Moderado"</formula>
    </cfRule>
    <cfRule type="cellIs" dxfId="685" priority="871" operator="equal">
      <formula>"Bajo"</formula>
    </cfRule>
  </conditionalFormatting>
  <conditionalFormatting sqref="N133:N135">
    <cfRule type="containsText" dxfId="684" priority="867" operator="containsText" text="❌">
      <formula>NOT(ISERROR(SEARCH("❌",N133)))</formula>
    </cfRule>
  </conditionalFormatting>
  <conditionalFormatting sqref="AB133:AB135">
    <cfRule type="cellIs" dxfId="683" priority="862" operator="equal">
      <formula>"Muy Alta"</formula>
    </cfRule>
    <cfRule type="cellIs" dxfId="682" priority="863" operator="equal">
      <formula>"Alta"</formula>
    </cfRule>
    <cfRule type="cellIs" dxfId="681" priority="864" operator="equal">
      <formula>"Media"</formula>
    </cfRule>
    <cfRule type="cellIs" dxfId="680" priority="865" operator="equal">
      <formula>"Baja"</formula>
    </cfRule>
    <cfRule type="cellIs" dxfId="679" priority="866" operator="equal">
      <formula>"Muy Baja"</formula>
    </cfRule>
  </conditionalFormatting>
  <conditionalFormatting sqref="AD133:AD135">
    <cfRule type="cellIs" dxfId="678" priority="857" operator="equal">
      <formula>"Catastrófico"</formula>
    </cfRule>
    <cfRule type="cellIs" dxfId="677" priority="858" operator="equal">
      <formula>"Mayor"</formula>
    </cfRule>
    <cfRule type="cellIs" dxfId="676" priority="859" operator="equal">
      <formula>"Moderado"</formula>
    </cfRule>
    <cfRule type="cellIs" dxfId="675" priority="860" operator="equal">
      <formula>"Menor"</formula>
    </cfRule>
    <cfRule type="cellIs" dxfId="674" priority="861" operator="equal">
      <formula>"Leve"</formula>
    </cfRule>
  </conditionalFormatting>
  <conditionalFormatting sqref="AF133:AF135">
    <cfRule type="cellIs" dxfId="673" priority="853" operator="equal">
      <formula>"Extremo"</formula>
    </cfRule>
    <cfRule type="cellIs" dxfId="672" priority="854" operator="equal">
      <formula>"Alto"</formula>
    </cfRule>
    <cfRule type="cellIs" dxfId="671" priority="855" operator="equal">
      <formula>"Moderado"</formula>
    </cfRule>
    <cfRule type="cellIs" dxfId="670" priority="856" operator="equal">
      <formula>"Bajo"</formula>
    </cfRule>
  </conditionalFormatting>
  <conditionalFormatting sqref="N133:N135">
    <cfRule type="containsText" dxfId="669" priority="852" operator="containsText" text="❌">
      <formula>NOT(ISERROR(SEARCH("❌",N133)))</formula>
    </cfRule>
  </conditionalFormatting>
  <conditionalFormatting sqref="AB136">
    <cfRule type="cellIs" dxfId="668" priority="847" operator="equal">
      <formula>"Muy Alta"</formula>
    </cfRule>
    <cfRule type="cellIs" dxfId="667" priority="848" operator="equal">
      <formula>"Alta"</formula>
    </cfRule>
    <cfRule type="cellIs" dxfId="666" priority="849" operator="equal">
      <formula>"Media"</formula>
    </cfRule>
    <cfRule type="cellIs" dxfId="665" priority="850" operator="equal">
      <formula>"Baja"</formula>
    </cfRule>
    <cfRule type="cellIs" dxfId="664" priority="851" operator="equal">
      <formula>"Muy Baja"</formula>
    </cfRule>
  </conditionalFormatting>
  <conditionalFormatting sqref="AD136">
    <cfRule type="cellIs" dxfId="663" priority="842" operator="equal">
      <formula>"Catastrófico"</formula>
    </cfRule>
    <cfRule type="cellIs" dxfId="662" priority="843" operator="equal">
      <formula>"Mayor"</formula>
    </cfRule>
    <cfRule type="cellIs" dxfId="661" priority="844" operator="equal">
      <formula>"Moderado"</formula>
    </cfRule>
    <cfRule type="cellIs" dxfId="660" priority="845" operator="equal">
      <formula>"Menor"</formula>
    </cfRule>
    <cfRule type="cellIs" dxfId="659" priority="846" operator="equal">
      <formula>"Leve"</formula>
    </cfRule>
  </conditionalFormatting>
  <conditionalFormatting sqref="AF136">
    <cfRule type="cellIs" dxfId="658" priority="838" operator="equal">
      <formula>"Extremo"</formula>
    </cfRule>
    <cfRule type="cellIs" dxfId="657" priority="839" operator="equal">
      <formula>"Alto"</formula>
    </cfRule>
    <cfRule type="cellIs" dxfId="656" priority="840" operator="equal">
      <formula>"Moderado"</formula>
    </cfRule>
    <cfRule type="cellIs" dxfId="655" priority="841" operator="equal">
      <formula>"Bajo"</formula>
    </cfRule>
  </conditionalFormatting>
  <conditionalFormatting sqref="AB137">
    <cfRule type="cellIs" dxfId="654" priority="833" operator="equal">
      <formula>"Muy Alta"</formula>
    </cfRule>
    <cfRule type="cellIs" dxfId="653" priority="834" operator="equal">
      <formula>"Alta"</formula>
    </cfRule>
    <cfRule type="cellIs" dxfId="652" priority="835" operator="equal">
      <formula>"Media"</formula>
    </cfRule>
    <cfRule type="cellIs" dxfId="651" priority="836" operator="equal">
      <formula>"Baja"</formula>
    </cfRule>
    <cfRule type="cellIs" dxfId="650" priority="837" operator="equal">
      <formula>"Muy Baja"</formula>
    </cfRule>
  </conditionalFormatting>
  <conditionalFormatting sqref="AD137">
    <cfRule type="cellIs" dxfId="649" priority="828" operator="equal">
      <formula>"Catastrófico"</formula>
    </cfRule>
    <cfRule type="cellIs" dxfId="648" priority="829" operator="equal">
      <formula>"Mayor"</formula>
    </cfRule>
    <cfRule type="cellIs" dxfId="647" priority="830" operator="equal">
      <formula>"Moderado"</formula>
    </cfRule>
    <cfRule type="cellIs" dxfId="646" priority="831" operator="equal">
      <formula>"Menor"</formula>
    </cfRule>
    <cfRule type="cellIs" dxfId="645" priority="832" operator="equal">
      <formula>"Leve"</formula>
    </cfRule>
  </conditionalFormatting>
  <conditionalFormatting sqref="AF137">
    <cfRule type="cellIs" dxfId="644" priority="824" operator="equal">
      <formula>"Extremo"</formula>
    </cfRule>
    <cfRule type="cellIs" dxfId="643" priority="825" operator="equal">
      <formula>"Alto"</formula>
    </cfRule>
    <cfRule type="cellIs" dxfId="642" priority="826" operator="equal">
      <formula>"Moderado"</formula>
    </cfRule>
    <cfRule type="cellIs" dxfId="641" priority="827" operator="equal">
      <formula>"Bajo"</formula>
    </cfRule>
  </conditionalFormatting>
  <conditionalFormatting sqref="AB138">
    <cfRule type="cellIs" dxfId="640" priority="819" operator="equal">
      <formula>"Muy Alta"</formula>
    </cfRule>
    <cfRule type="cellIs" dxfId="639" priority="820" operator="equal">
      <formula>"Alta"</formula>
    </cfRule>
    <cfRule type="cellIs" dxfId="638" priority="821" operator="equal">
      <formula>"Media"</formula>
    </cfRule>
    <cfRule type="cellIs" dxfId="637" priority="822" operator="equal">
      <formula>"Baja"</formula>
    </cfRule>
    <cfRule type="cellIs" dxfId="636" priority="823" operator="equal">
      <formula>"Muy Baja"</formula>
    </cfRule>
  </conditionalFormatting>
  <conditionalFormatting sqref="AD138">
    <cfRule type="cellIs" dxfId="635" priority="814" operator="equal">
      <formula>"Catastrófico"</formula>
    </cfRule>
    <cfRule type="cellIs" dxfId="634" priority="815" operator="equal">
      <formula>"Mayor"</formula>
    </cfRule>
    <cfRule type="cellIs" dxfId="633" priority="816" operator="equal">
      <formula>"Moderado"</formula>
    </cfRule>
    <cfRule type="cellIs" dxfId="632" priority="817" operator="equal">
      <formula>"Menor"</formula>
    </cfRule>
    <cfRule type="cellIs" dxfId="631" priority="818" operator="equal">
      <formula>"Leve"</formula>
    </cfRule>
  </conditionalFormatting>
  <conditionalFormatting sqref="AF138">
    <cfRule type="cellIs" dxfId="630" priority="810" operator="equal">
      <formula>"Extremo"</formula>
    </cfRule>
    <cfRule type="cellIs" dxfId="629" priority="811" operator="equal">
      <formula>"Alto"</formula>
    </cfRule>
    <cfRule type="cellIs" dxfId="628" priority="812" operator="equal">
      <formula>"Moderado"</formula>
    </cfRule>
    <cfRule type="cellIs" dxfId="627" priority="813" operator="equal">
      <formula>"Bajo"</formula>
    </cfRule>
  </conditionalFormatting>
  <conditionalFormatting sqref="K136">
    <cfRule type="cellIs" dxfId="626" priority="805" operator="equal">
      <formula>"Muy Alta"</formula>
    </cfRule>
    <cfRule type="cellIs" dxfId="625" priority="806" operator="equal">
      <formula>"Alta"</formula>
    </cfRule>
    <cfRule type="cellIs" dxfId="624" priority="807" operator="equal">
      <formula>"Media"</formula>
    </cfRule>
    <cfRule type="cellIs" dxfId="623" priority="808" operator="equal">
      <formula>"Baja"</formula>
    </cfRule>
    <cfRule type="cellIs" dxfId="622" priority="809" operator="equal">
      <formula>"Muy Baja"</formula>
    </cfRule>
  </conditionalFormatting>
  <conditionalFormatting sqref="O136">
    <cfRule type="cellIs" dxfId="621" priority="800" operator="equal">
      <formula>"Catastrófico"</formula>
    </cfRule>
    <cfRule type="cellIs" dxfId="620" priority="801" operator="equal">
      <formula>"Mayor"</formula>
    </cfRule>
    <cfRule type="cellIs" dxfId="619" priority="802" operator="equal">
      <formula>"Moderado"</formula>
    </cfRule>
    <cfRule type="cellIs" dxfId="618" priority="803" operator="equal">
      <formula>"Menor"</formula>
    </cfRule>
    <cfRule type="cellIs" dxfId="617" priority="804" operator="equal">
      <formula>"Leve"</formula>
    </cfRule>
  </conditionalFormatting>
  <conditionalFormatting sqref="Q136">
    <cfRule type="cellIs" dxfId="616" priority="796" operator="equal">
      <formula>"Extremo"</formula>
    </cfRule>
    <cfRule type="cellIs" dxfId="615" priority="797" operator="equal">
      <formula>"Alto"</formula>
    </cfRule>
    <cfRule type="cellIs" dxfId="614" priority="798" operator="equal">
      <formula>"Moderado"</formula>
    </cfRule>
    <cfRule type="cellIs" dxfId="613" priority="799" operator="equal">
      <formula>"Bajo"</formula>
    </cfRule>
  </conditionalFormatting>
  <conditionalFormatting sqref="N136:N138">
    <cfRule type="containsText" dxfId="612" priority="795" operator="containsText" text="❌">
      <formula>NOT(ISERROR(SEARCH("❌",N136)))</formula>
    </cfRule>
  </conditionalFormatting>
  <conditionalFormatting sqref="AB136:AB138">
    <cfRule type="cellIs" dxfId="611" priority="790" operator="equal">
      <formula>"Muy Alta"</formula>
    </cfRule>
    <cfRule type="cellIs" dxfId="610" priority="791" operator="equal">
      <formula>"Alta"</formula>
    </cfRule>
    <cfRule type="cellIs" dxfId="609" priority="792" operator="equal">
      <formula>"Media"</formula>
    </cfRule>
    <cfRule type="cellIs" dxfId="608" priority="793" operator="equal">
      <formula>"Baja"</formula>
    </cfRule>
    <cfRule type="cellIs" dxfId="607" priority="794" operator="equal">
      <formula>"Muy Baja"</formula>
    </cfRule>
  </conditionalFormatting>
  <conditionalFormatting sqref="AD136:AD138">
    <cfRule type="cellIs" dxfId="606" priority="785" operator="equal">
      <formula>"Catastrófico"</formula>
    </cfRule>
    <cfRule type="cellIs" dxfId="605" priority="786" operator="equal">
      <formula>"Mayor"</formula>
    </cfRule>
    <cfRule type="cellIs" dxfId="604" priority="787" operator="equal">
      <formula>"Moderado"</formula>
    </cfRule>
    <cfRule type="cellIs" dxfId="603" priority="788" operator="equal">
      <formula>"Menor"</formula>
    </cfRule>
    <cfRule type="cellIs" dxfId="602" priority="789" operator="equal">
      <formula>"Leve"</formula>
    </cfRule>
  </conditionalFormatting>
  <conditionalFormatting sqref="AF136:AF138">
    <cfRule type="cellIs" dxfId="601" priority="781" operator="equal">
      <formula>"Extremo"</formula>
    </cfRule>
    <cfRule type="cellIs" dxfId="600" priority="782" operator="equal">
      <formula>"Alto"</formula>
    </cfRule>
    <cfRule type="cellIs" dxfId="599" priority="783" operator="equal">
      <formula>"Moderado"</formula>
    </cfRule>
    <cfRule type="cellIs" dxfId="598" priority="784" operator="equal">
      <formula>"Bajo"</formula>
    </cfRule>
  </conditionalFormatting>
  <conditionalFormatting sqref="N136:N138">
    <cfRule type="containsText" dxfId="597" priority="780" operator="containsText" text="❌">
      <formula>NOT(ISERROR(SEARCH("❌",N136)))</formula>
    </cfRule>
  </conditionalFormatting>
  <conditionalFormatting sqref="AB139">
    <cfRule type="cellIs" dxfId="596" priority="703" operator="equal">
      <formula>"Muy Alta"</formula>
    </cfRule>
    <cfRule type="cellIs" dxfId="595" priority="704" operator="equal">
      <formula>"Alta"</formula>
    </cfRule>
    <cfRule type="cellIs" dxfId="594" priority="705" operator="equal">
      <formula>"Media"</formula>
    </cfRule>
    <cfRule type="cellIs" dxfId="593" priority="706" operator="equal">
      <formula>"Baja"</formula>
    </cfRule>
    <cfRule type="cellIs" dxfId="592" priority="707" operator="equal">
      <formula>"Muy Baja"</formula>
    </cfRule>
  </conditionalFormatting>
  <conditionalFormatting sqref="AD139">
    <cfRule type="cellIs" dxfId="591" priority="698" operator="equal">
      <formula>"Catastrófico"</formula>
    </cfRule>
    <cfRule type="cellIs" dxfId="590" priority="699" operator="equal">
      <formula>"Mayor"</formula>
    </cfRule>
    <cfRule type="cellIs" dxfId="589" priority="700" operator="equal">
      <formula>"Moderado"</formula>
    </cfRule>
    <cfRule type="cellIs" dxfId="588" priority="701" operator="equal">
      <formula>"Menor"</formula>
    </cfRule>
    <cfRule type="cellIs" dxfId="587" priority="702" operator="equal">
      <formula>"Leve"</formula>
    </cfRule>
  </conditionalFormatting>
  <conditionalFormatting sqref="AF139">
    <cfRule type="cellIs" dxfId="586" priority="694" operator="equal">
      <formula>"Extremo"</formula>
    </cfRule>
    <cfRule type="cellIs" dxfId="585" priority="695" operator="equal">
      <formula>"Alto"</formula>
    </cfRule>
    <cfRule type="cellIs" dxfId="584" priority="696" operator="equal">
      <formula>"Moderado"</formula>
    </cfRule>
    <cfRule type="cellIs" dxfId="583" priority="697" operator="equal">
      <formula>"Bajo"</formula>
    </cfRule>
  </conditionalFormatting>
  <conditionalFormatting sqref="AB140">
    <cfRule type="cellIs" dxfId="582" priority="689" operator="equal">
      <formula>"Muy Alta"</formula>
    </cfRule>
    <cfRule type="cellIs" dxfId="581" priority="690" operator="equal">
      <formula>"Alta"</formula>
    </cfRule>
    <cfRule type="cellIs" dxfId="580" priority="691" operator="equal">
      <formula>"Media"</formula>
    </cfRule>
    <cfRule type="cellIs" dxfId="579" priority="692" operator="equal">
      <formula>"Baja"</formula>
    </cfRule>
    <cfRule type="cellIs" dxfId="578" priority="693" operator="equal">
      <formula>"Muy Baja"</formula>
    </cfRule>
  </conditionalFormatting>
  <conditionalFormatting sqref="AD140">
    <cfRule type="cellIs" dxfId="577" priority="684" operator="equal">
      <formula>"Catastrófico"</formula>
    </cfRule>
    <cfRule type="cellIs" dxfId="576" priority="685" operator="equal">
      <formula>"Mayor"</formula>
    </cfRule>
    <cfRule type="cellIs" dxfId="575" priority="686" operator="equal">
      <formula>"Moderado"</formula>
    </cfRule>
    <cfRule type="cellIs" dxfId="574" priority="687" operator="equal">
      <formula>"Menor"</formula>
    </cfRule>
    <cfRule type="cellIs" dxfId="573" priority="688" operator="equal">
      <formula>"Leve"</formula>
    </cfRule>
  </conditionalFormatting>
  <conditionalFormatting sqref="AF140">
    <cfRule type="cellIs" dxfId="572" priority="680" operator="equal">
      <formula>"Extremo"</formula>
    </cfRule>
    <cfRule type="cellIs" dxfId="571" priority="681" operator="equal">
      <formula>"Alto"</formula>
    </cfRule>
    <cfRule type="cellIs" dxfId="570" priority="682" operator="equal">
      <formula>"Moderado"</formula>
    </cfRule>
    <cfRule type="cellIs" dxfId="569" priority="683" operator="equal">
      <formula>"Bajo"</formula>
    </cfRule>
  </conditionalFormatting>
  <conditionalFormatting sqref="AB141">
    <cfRule type="cellIs" dxfId="568" priority="675" operator="equal">
      <formula>"Muy Alta"</formula>
    </cfRule>
    <cfRule type="cellIs" dxfId="567" priority="676" operator="equal">
      <formula>"Alta"</formula>
    </cfRule>
    <cfRule type="cellIs" dxfId="566" priority="677" operator="equal">
      <formula>"Media"</formula>
    </cfRule>
    <cfRule type="cellIs" dxfId="565" priority="678" operator="equal">
      <formula>"Baja"</formula>
    </cfRule>
    <cfRule type="cellIs" dxfId="564" priority="679" operator="equal">
      <formula>"Muy Baja"</formula>
    </cfRule>
  </conditionalFormatting>
  <conditionalFormatting sqref="AD141">
    <cfRule type="cellIs" dxfId="563" priority="670" operator="equal">
      <formula>"Catastrófico"</formula>
    </cfRule>
    <cfRule type="cellIs" dxfId="562" priority="671" operator="equal">
      <formula>"Mayor"</formula>
    </cfRule>
    <cfRule type="cellIs" dxfId="561" priority="672" operator="equal">
      <formula>"Moderado"</formula>
    </cfRule>
    <cfRule type="cellIs" dxfId="560" priority="673" operator="equal">
      <formula>"Menor"</formula>
    </cfRule>
    <cfRule type="cellIs" dxfId="559" priority="674" operator="equal">
      <formula>"Leve"</formula>
    </cfRule>
  </conditionalFormatting>
  <conditionalFormatting sqref="AF141">
    <cfRule type="cellIs" dxfId="558" priority="666" operator="equal">
      <formula>"Extremo"</formula>
    </cfRule>
    <cfRule type="cellIs" dxfId="557" priority="667" operator="equal">
      <formula>"Alto"</formula>
    </cfRule>
    <cfRule type="cellIs" dxfId="556" priority="668" operator="equal">
      <formula>"Moderado"</formula>
    </cfRule>
    <cfRule type="cellIs" dxfId="555" priority="669" operator="equal">
      <formula>"Bajo"</formula>
    </cfRule>
  </conditionalFormatting>
  <conditionalFormatting sqref="K139">
    <cfRule type="cellIs" dxfId="554" priority="661" operator="equal">
      <formula>"Muy Alta"</formula>
    </cfRule>
    <cfRule type="cellIs" dxfId="553" priority="662" operator="equal">
      <formula>"Alta"</formula>
    </cfRule>
    <cfRule type="cellIs" dxfId="552" priority="663" operator="equal">
      <formula>"Media"</formula>
    </cfRule>
    <cfRule type="cellIs" dxfId="551" priority="664" operator="equal">
      <formula>"Baja"</formula>
    </cfRule>
    <cfRule type="cellIs" dxfId="550" priority="665" operator="equal">
      <formula>"Muy Baja"</formula>
    </cfRule>
  </conditionalFormatting>
  <conditionalFormatting sqref="O139">
    <cfRule type="cellIs" dxfId="549" priority="656" operator="equal">
      <formula>"Catastrófico"</formula>
    </cfRule>
    <cfRule type="cellIs" dxfId="548" priority="657" operator="equal">
      <formula>"Mayor"</formula>
    </cfRule>
    <cfRule type="cellIs" dxfId="547" priority="658" operator="equal">
      <formula>"Moderado"</formula>
    </cfRule>
    <cfRule type="cellIs" dxfId="546" priority="659" operator="equal">
      <formula>"Menor"</formula>
    </cfRule>
    <cfRule type="cellIs" dxfId="545" priority="660" operator="equal">
      <formula>"Leve"</formula>
    </cfRule>
  </conditionalFormatting>
  <conditionalFormatting sqref="Q139">
    <cfRule type="cellIs" dxfId="544" priority="652" operator="equal">
      <formula>"Extremo"</formula>
    </cfRule>
    <cfRule type="cellIs" dxfId="543" priority="653" operator="equal">
      <formula>"Alto"</formula>
    </cfRule>
    <cfRule type="cellIs" dxfId="542" priority="654" operator="equal">
      <formula>"Moderado"</formula>
    </cfRule>
    <cfRule type="cellIs" dxfId="541" priority="655" operator="equal">
      <formula>"Bajo"</formula>
    </cfRule>
  </conditionalFormatting>
  <conditionalFormatting sqref="N139:N141">
    <cfRule type="containsText" dxfId="540" priority="651" operator="containsText" text="❌">
      <formula>NOT(ISERROR(SEARCH("❌",N139)))</formula>
    </cfRule>
  </conditionalFormatting>
  <conditionalFormatting sqref="AB139:AB141">
    <cfRule type="cellIs" dxfId="539" priority="646" operator="equal">
      <formula>"Muy Alta"</formula>
    </cfRule>
    <cfRule type="cellIs" dxfId="538" priority="647" operator="equal">
      <formula>"Alta"</formula>
    </cfRule>
    <cfRule type="cellIs" dxfId="537" priority="648" operator="equal">
      <formula>"Media"</formula>
    </cfRule>
    <cfRule type="cellIs" dxfId="536" priority="649" operator="equal">
      <formula>"Baja"</formula>
    </cfRule>
    <cfRule type="cellIs" dxfId="535" priority="650" operator="equal">
      <formula>"Muy Baja"</formula>
    </cfRule>
  </conditionalFormatting>
  <conditionalFormatting sqref="AD139:AD141">
    <cfRule type="cellIs" dxfId="534" priority="641" operator="equal">
      <formula>"Catastrófico"</formula>
    </cfRule>
    <cfRule type="cellIs" dxfId="533" priority="642" operator="equal">
      <formula>"Mayor"</formula>
    </cfRule>
    <cfRule type="cellIs" dxfId="532" priority="643" operator="equal">
      <formula>"Moderado"</formula>
    </cfRule>
    <cfRule type="cellIs" dxfId="531" priority="644" operator="equal">
      <formula>"Menor"</formula>
    </cfRule>
    <cfRule type="cellIs" dxfId="530" priority="645" operator="equal">
      <formula>"Leve"</formula>
    </cfRule>
  </conditionalFormatting>
  <conditionalFormatting sqref="AF139:AF141">
    <cfRule type="cellIs" dxfId="529" priority="637" operator="equal">
      <formula>"Extremo"</formula>
    </cfRule>
    <cfRule type="cellIs" dxfId="528" priority="638" operator="equal">
      <formula>"Alto"</formula>
    </cfRule>
    <cfRule type="cellIs" dxfId="527" priority="639" operator="equal">
      <formula>"Moderado"</formula>
    </cfRule>
    <cfRule type="cellIs" dxfId="526" priority="640" operator="equal">
      <formula>"Bajo"</formula>
    </cfRule>
  </conditionalFormatting>
  <conditionalFormatting sqref="N139:N141">
    <cfRule type="containsText" dxfId="525" priority="636" operator="containsText" text="❌">
      <formula>NOT(ISERROR(SEARCH("❌",N139)))</formula>
    </cfRule>
  </conditionalFormatting>
  <conditionalFormatting sqref="AB142">
    <cfRule type="cellIs" dxfId="524" priority="631" operator="equal">
      <formula>"Muy Alta"</formula>
    </cfRule>
    <cfRule type="cellIs" dxfId="523" priority="632" operator="equal">
      <formula>"Alta"</formula>
    </cfRule>
    <cfRule type="cellIs" dxfId="522" priority="633" operator="equal">
      <formula>"Media"</formula>
    </cfRule>
    <cfRule type="cellIs" dxfId="521" priority="634" operator="equal">
      <formula>"Baja"</formula>
    </cfRule>
    <cfRule type="cellIs" dxfId="520" priority="635" operator="equal">
      <formula>"Muy Baja"</formula>
    </cfRule>
  </conditionalFormatting>
  <conditionalFormatting sqref="AD142">
    <cfRule type="cellIs" dxfId="519" priority="626" operator="equal">
      <formula>"Catastrófico"</formula>
    </cfRule>
    <cfRule type="cellIs" dxfId="518" priority="627" operator="equal">
      <formula>"Mayor"</formula>
    </cfRule>
    <cfRule type="cellIs" dxfId="517" priority="628" operator="equal">
      <formula>"Moderado"</formula>
    </cfRule>
    <cfRule type="cellIs" dxfId="516" priority="629" operator="equal">
      <formula>"Menor"</formula>
    </cfRule>
    <cfRule type="cellIs" dxfId="515" priority="630" operator="equal">
      <formula>"Leve"</formula>
    </cfRule>
  </conditionalFormatting>
  <conditionalFormatting sqref="AF142">
    <cfRule type="cellIs" dxfId="514" priority="622" operator="equal">
      <formula>"Extremo"</formula>
    </cfRule>
    <cfRule type="cellIs" dxfId="513" priority="623" operator="equal">
      <formula>"Alto"</formula>
    </cfRule>
    <cfRule type="cellIs" dxfId="512" priority="624" operator="equal">
      <formula>"Moderado"</formula>
    </cfRule>
    <cfRule type="cellIs" dxfId="511" priority="625" operator="equal">
      <formula>"Bajo"</formula>
    </cfRule>
  </conditionalFormatting>
  <conditionalFormatting sqref="AB143">
    <cfRule type="cellIs" dxfId="510" priority="617" operator="equal">
      <formula>"Muy Alta"</formula>
    </cfRule>
    <cfRule type="cellIs" dxfId="509" priority="618" operator="equal">
      <formula>"Alta"</formula>
    </cfRule>
    <cfRule type="cellIs" dxfId="508" priority="619" operator="equal">
      <formula>"Media"</formula>
    </cfRule>
    <cfRule type="cellIs" dxfId="507" priority="620" operator="equal">
      <formula>"Baja"</formula>
    </cfRule>
    <cfRule type="cellIs" dxfId="506" priority="621" operator="equal">
      <formula>"Muy Baja"</formula>
    </cfRule>
  </conditionalFormatting>
  <conditionalFormatting sqref="AD143">
    <cfRule type="cellIs" dxfId="505" priority="612" operator="equal">
      <formula>"Catastrófico"</formula>
    </cfRule>
    <cfRule type="cellIs" dxfId="504" priority="613" operator="equal">
      <formula>"Mayor"</formula>
    </cfRule>
    <cfRule type="cellIs" dxfId="503" priority="614" operator="equal">
      <formula>"Moderado"</formula>
    </cfRule>
    <cfRule type="cellIs" dxfId="502" priority="615" operator="equal">
      <formula>"Menor"</formula>
    </cfRule>
    <cfRule type="cellIs" dxfId="501" priority="616" operator="equal">
      <formula>"Leve"</formula>
    </cfRule>
  </conditionalFormatting>
  <conditionalFormatting sqref="AF143">
    <cfRule type="cellIs" dxfId="500" priority="608" operator="equal">
      <formula>"Extremo"</formula>
    </cfRule>
    <cfRule type="cellIs" dxfId="499" priority="609" operator="equal">
      <formula>"Alto"</formula>
    </cfRule>
    <cfRule type="cellIs" dxfId="498" priority="610" operator="equal">
      <formula>"Moderado"</formula>
    </cfRule>
    <cfRule type="cellIs" dxfId="497" priority="611" operator="equal">
      <formula>"Bajo"</formula>
    </cfRule>
  </conditionalFormatting>
  <conditionalFormatting sqref="AB144">
    <cfRule type="cellIs" dxfId="496" priority="603" operator="equal">
      <formula>"Muy Alta"</formula>
    </cfRule>
    <cfRule type="cellIs" dxfId="495" priority="604" operator="equal">
      <formula>"Alta"</formula>
    </cfRule>
    <cfRule type="cellIs" dxfId="494" priority="605" operator="equal">
      <formula>"Media"</formula>
    </cfRule>
    <cfRule type="cellIs" dxfId="493" priority="606" operator="equal">
      <formula>"Baja"</formula>
    </cfRule>
    <cfRule type="cellIs" dxfId="492" priority="607" operator="equal">
      <formula>"Muy Baja"</formula>
    </cfRule>
  </conditionalFormatting>
  <conditionalFormatting sqref="AD144">
    <cfRule type="cellIs" dxfId="491" priority="598" operator="equal">
      <formula>"Catastrófico"</formula>
    </cfRule>
    <cfRule type="cellIs" dxfId="490" priority="599" operator="equal">
      <formula>"Mayor"</formula>
    </cfRule>
    <cfRule type="cellIs" dxfId="489" priority="600" operator="equal">
      <formula>"Moderado"</formula>
    </cfRule>
    <cfRule type="cellIs" dxfId="488" priority="601" operator="equal">
      <formula>"Menor"</formula>
    </cfRule>
    <cfRule type="cellIs" dxfId="487" priority="602" operator="equal">
      <formula>"Leve"</formula>
    </cfRule>
  </conditionalFormatting>
  <conditionalFormatting sqref="AF144">
    <cfRule type="cellIs" dxfId="486" priority="594" operator="equal">
      <formula>"Extremo"</formula>
    </cfRule>
    <cfRule type="cellIs" dxfId="485" priority="595" operator="equal">
      <formula>"Alto"</formula>
    </cfRule>
    <cfRule type="cellIs" dxfId="484" priority="596" operator="equal">
      <formula>"Moderado"</formula>
    </cfRule>
    <cfRule type="cellIs" dxfId="483" priority="597" operator="equal">
      <formula>"Bajo"</formula>
    </cfRule>
  </conditionalFormatting>
  <conditionalFormatting sqref="K142">
    <cfRule type="cellIs" dxfId="482" priority="589" operator="equal">
      <formula>"Muy Alta"</formula>
    </cfRule>
    <cfRule type="cellIs" dxfId="481" priority="590" operator="equal">
      <formula>"Alta"</formula>
    </cfRule>
    <cfRule type="cellIs" dxfId="480" priority="591" operator="equal">
      <formula>"Media"</formula>
    </cfRule>
    <cfRule type="cellIs" dxfId="479" priority="592" operator="equal">
      <formula>"Baja"</formula>
    </cfRule>
    <cfRule type="cellIs" dxfId="478" priority="593" operator="equal">
      <formula>"Muy Baja"</formula>
    </cfRule>
  </conditionalFormatting>
  <conditionalFormatting sqref="O142">
    <cfRule type="cellIs" dxfId="477" priority="584" operator="equal">
      <formula>"Catastrófico"</formula>
    </cfRule>
    <cfRule type="cellIs" dxfId="476" priority="585" operator="equal">
      <formula>"Mayor"</formula>
    </cfRule>
    <cfRule type="cellIs" dxfId="475" priority="586" operator="equal">
      <formula>"Moderado"</formula>
    </cfRule>
    <cfRule type="cellIs" dxfId="474" priority="587" operator="equal">
      <formula>"Menor"</formula>
    </cfRule>
    <cfRule type="cellIs" dxfId="473" priority="588" operator="equal">
      <formula>"Leve"</formula>
    </cfRule>
  </conditionalFormatting>
  <conditionalFormatting sqref="Q142">
    <cfRule type="cellIs" dxfId="472" priority="580" operator="equal">
      <formula>"Extremo"</formula>
    </cfRule>
    <cfRule type="cellIs" dxfId="471" priority="581" operator="equal">
      <formula>"Alto"</formula>
    </cfRule>
    <cfRule type="cellIs" dxfId="470" priority="582" operator="equal">
      <formula>"Moderado"</formula>
    </cfRule>
    <cfRule type="cellIs" dxfId="469" priority="583" operator="equal">
      <formula>"Bajo"</formula>
    </cfRule>
  </conditionalFormatting>
  <conditionalFormatting sqref="N142:N144">
    <cfRule type="containsText" dxfId="468" priority="579" operator="containsText" text="❌">
      <formula>NOT(ISERROR(SEARCH("❌",N142)))</formula>
    </cfRule>
  </conditionalFormatting>
  <conditionalFormatting sqref="AB142:AB144">
    <cfRule type="cellIs" dxfId="467" priority="574" operator="equal">
      <formula>"Muy Alta"</formula>
    </cfRule>
    <cfRule type="cellIs" dxfId="466" priority="575" operator="equal">
      <formula>"Alta"</formula>
    </cfRule>
    <cfRule type="cellIs" dxfId="465" priority="576" operator="equal">
      <formula>"Media"</formula>
    </cfRule>
    <cfRule type="cellIs" dxfId="464" priority="577" operator="equal">
      <formula>"Baja"</formula>
    </cfRule>
    <cfRule type="cellIs" dxfId="463" priority="578" operator="equal">
      <formula>"Muy Baja"</formula>
    </cfRule>
  </conditionalFormatting>
  <conditionalFormatting sqref="AD142:AD144">
    <cfRule type="cellIs" dxfId="462" priority="569" operator="equal">
      <formula>"Catastrófico"</formula>
    </cfRule>
    <cfRule type="cellIs" dxfId="461" priority="570" operator="equal">
      <formula>"Mayor"</formula>
    </cfRule>
    <cfRule type="cellIs" dxfId="460" priority="571" operator="equal">
      <formula>"Moderado"</formula>
    </cfRule>
    <cfRule type="cellIs" dxfId="459" priority="572" operator="equal">
      <formula>"Menor"</formula>
    </cfRule>
    <cfRule type="cellIs" dxfId="458" priority="573" operator="equal">
      <formula>"Leve"</formula>
    </cfRule>
  </conditionalFormatting>
  <conditionalFormatting sqref="AF142:AF144">
    <cfRule type="cellIs" dxfId="457" priority="565" operator="equal">
      <formula>"Extremo"</formula>
    </cfRule>
    <cfRule type="cellIs" dxfId="456" priority="566" operator="equal">
      <formula>"Alto"</formula>
    </cfRule>
    <cfRule type="cellIs" dxfId="455" priority="567" operator="equal">
      <formula>"Moderado"</formula>
    </cfRule>
    <cfRule type="cellIs" dxfId="454" priority="568" operator="equal">
      <formula>"Bajo"</formula>
    </cfRule>
  </conditionalFormatting>
  <conditionalFormatting sqref="N142:N144">
    <cfRule type="containsText" dxfId="453" priority="564" operator="containsText" text="❌">
      <formula>NOT(ISERROR(SEARCH("❌",N142)))</formula>
    </cfRule>
  </conditionalFormatting>
  <conditionalFormatting sqref="AB145">
    <cfRule type="cellIs" dxfId="452" priority="559" operator="equal">
      <formula>"Muy Alta"</formula>
    </cfRule>
    <cfRule type="cellIs" dxfId="451" priority="560" operator="equal">
      <formula>"Alta"</formula>
    </cfRule>
    <cfRule type="cellIs" dxfId="450" priority="561" operator="equal">
      <formula>"Media"</formula>
    </cfRule>
    <cfRule type="cellIs" dxfId="449" priority="562" operator="equal">
      <formula>"Baja"</formula>
    </cfRule>
    <cfRule type="cellIs" dxfId="448" priority="563" operator="equal">
      <formula>"Muy Baja"</formula>
    </cfRule>
  </conditionalFormatting>
  <conditionalFormatting sqref="AD145">
    <cfRule type="cellIs" dxfId="447" priority="554" operator="equal">
      <formula>"Catastrófico"</formula>
    </cfRule>
    <cfRule type="cellIs" dxfId="446" priority="555" operator="equal">
      <formula>"Mayor"</formula>
    </cfRule>
    <cfRule type="cellIs" dxfId="445" priority="556" operator="equal">
      <formula>"Moderado"</formula>
    </cfRule>
    <cfRule type="cellIs" dxfId="444" priority="557" operator="equal">
      <formula>"Menor"</formula>
    </cfRule>
    <cfRule type="cellIs" dxfId="443" priority="558" operator="equal">
      <formula>"Leve"</formula>
    </cfRule>
  </conditionalFormatting>
  <conditionalFormatting sqref="AF145">
    <cfRule type="cellIs" dxfId="442" priority="550" operator="equal">
      <formula>"Extremo"</formula>
    </cfRule>
    <cfRule type="cellIs" dxfId="441" priority="551" operator="equal">
      <formula>"Alto"</formula>
    </cfRule>
    <cfRule type="cellIs" dxfId="440" priority="552" operator="equal">
      <formula>"Moderado"</formula>
    </cfRule>
    <cfRule type="cellIs" dxfId="439" priority="553" operator="equal">
      <formula>"Bajo"</formula>
    </cfRule>
  </conditionalFormatting>
  <conditionalFormatting sqref="AB146">
    <cfRule type="cellIs" dxfId="438" priority="545" operator="equal">
      <formula>"Muy Alta"</formula>
    </cfRule>
    <cfRule type="cellIs" dxfId="437" priority="546" operator="equal">
      <formula>"Alta"</formula>
    </cfRule>
    <cfRule type="cellIs" dxfId="436" priority="547" operator="equal">
      <formula>"Media"</formula>
    </cfRule>
    <cfRule type="cellIs" dxfId="435" priority="548" operator="equal">
      <formula>"Baja"</formula>
    </cfRule>
    <cfRule type="cellIs" dxfId="434" priority="549" operator="equal">
      <formula>"Muy Baja"</formula>
    </cfRule>
  </conditionalFormatting>
  <conditionalFormatting sqref="AD146">
    <cfRule type="cellIs" dxfId="433" priority="540" operator="equal">
      <formula>"Catastrófico"</formula>
    </cfRule>
    <cfRule type="cellIs" dxfId="432" priority="541" operator="equal">
      <formula>"Mayor"</formula>
    </cfRule>
    <cfRule type="cellIs" dxfId="431" priority="542" operator="equal">
      <formula>"Moderado"</formula>
    </cfRule>
    <cfRule type="cellIs" dxfId="430" priority="543" operator="equal">
      <formula>"Menor"</formula>
    </cfRule>
    <cfRule type="cellIs" dxfId="429" priority="544" operator="equal">
      <formula>"Leve"</formula>
    </cfRule>
  </conditionalFormatting>
  <conditionalFormatting sqref="AF146">
    <cfRule type="cellIs" dxfId="428" priority="536" operator="equal">
      <formula>"Extremo"</formula>
    </cfRule>
    <cfRule type="cellIs" dxfId="427" priority="537" operator="equal">
      <formula>"Alto"</formula>
    </cfRule>
    <cfRule type="cellIs" dxfId="426" priority="538" operator="equal">
      <formula>"Moderado"</formula>
    </cfRule>
    <cfRule type="cellIs" dxfId="425" priority="539" operator="equal">
      <formula>"Bajo"</formula>
    </cfRule>
  </conditionalFormatting>
  <conditionalFormatting sqref="AB147">
    <cfRule type="cellIs" dxfId="424" priority="531" operator="equal">
      <formula>"Muy Alta"</formula>
    </cfRule>
    <cfRule type="cellIs" dxfId="423" priority="532" operator="equal">
      <formula>"Alta"</formula>
    </cfRule>
    <cfRule type="cellIs" dxfId="422" priority="533" operator="equal">
      <formula>"Media"</formula>
    </cfRule>
    <cfRule type="cellIs" dxfId="421" priority="534" operator="equal">
      <formula>"Baja"</formula>
    </cfRule>
    <cfRule type="cellIs" dxfId="420" priority="535" operator="equal">
      <formula>"Muy Baja"</formula>
    </cfRule>
  </conditionalFormatting>
  <conditionalFormatting sqref="AD147">
    <cfRule type="cellIs" dxfId="419" priority="526" operator="equal">
      <formula>"Catastrófico"</formula>
    </cfRule>
    <cfRule type="cellIs" dxfId="418" priority="527" operator="equal">
      <formula>"Mayor"</formula>
    </cfRule>
    <cfRule type="cellIs" dxfId="417" priority="528" operator="equal">
      <formula>"Moderado"</formula>
    </cfRule>
    <cfRule type="cellIs" dxfId="416" priority="529" operator="equal">
      <formula>"Menor"</formula>
    </cfRule>
    <cfRule type="cellIs" dxfId="415" priority="530" operator="equal">
      <formula>"Leve"</formula>
    </cfRule>
  </conditionalFormatting>
  <conditionalFormatting sqref="AF147">
    <cfRule type="cellIs" dxfId="414" priority="522" operator="equal">
      <formula>"Extremo"</formula>
    </cfRule>
    <cfRule type="cellIs" dxfId="413" priority="523" operator="equal">
      <formula>"Alto"</formula>
    </cfRule>
    <cfRule type="cellIs" dxfId="412" priority="524" operator="equal">
      <formula>"Moderado"</formula>
    </cfRule>
    <cfRule type="cellIs" dxfId="411" priority="525" operator="equal">
      <formula>"Bajo"</formula>
    </cfRule>
  </conditionalFormatting>
  <conditionalFormatting sqref="K145">
    <cfRule type="cellIs" dxfId="410" priority="517" operator="equal">
      <formula>"Muy Alta"</formula>
    </cfRule>
    <cfRule type="cellIs" dxfId="409" priority="518" operator="equal">
      <formula>"Alta"</formula>
    </cfRule>
    <cfRule type="cellIs" dxfId="408" priority="519" operator="equal">
      <formula>"Media"</formula>
    </cfRule>
    <cfRule type="cellIs" dxfId="407" priority="520" operator="equal">
      <formula>"Baja"</formula>
    </cfRule>
    <cfRule type="cellIs" dxfId="406" priority="521" operator="equal">
      <formula>"Muy Baja"</formula>
    </cfRule>
  </conditionalFormatting>
  <conditionalFormatting sqref="O145">
    <cfRule type="cellIs" dxfId="405" priority="512" operator="equal">
      <formula>"Catastrófico"</formula>
    </cfRule>
    <cfRule type="cellIs" dxfId="404" priority="513" operator="equal">
      <formula>"Mayor"</formula>
    </cfRule>
    <cfRule type="cellIs" dxfId="403" priority="514" operator="equal">
      <formula>"Moderado"</formula>
    </cfRule>
    <cfRule type="cellIs" dxfId="402" priority="515" operator="equal">
      <formula>"Menor"</formula>
    </cfRule>
    <cfRule type="cellIs" dxfId="401" priority="516" operator="equal">
      <formula>"Leve"</formula>
    </cfRule>
  </conditionalFormatting>
  <conditionalFormatting sqref="Q145">
    <cfRule type="cellIs" dxfId="400" priority="508" operator="equal">
      <formula>"Extremo"</formula>
    </cfRule>
    <cfRule type="cellIs" dxfId="399" priority="509" operator="equal">
      <formula>"Alto"</formula>
    </cfRule>
    <cfRule type="cellIs" dxfId="398" priority="510" operator="equal">
      <formula>"Moderado"</formula>
    </cfRule>
    <cfRule type="cellIs" dxfId="397" priority="511" operator="equal">
      <formula>"Bajo"</formula>
    </cfRule>
  </conditionalFormatting>
  <conditionalFormatting sqref="N145:N147">
    <cfRule type="containsText" dxfId="396" priority="507" operator="containsText" text="❌">
      <formula>NOT(ISERROR(SEARCH("❌",N145)))</formula>
    </cfRule>
  </conditionalFormatting>
  <conditionalFormatting sqref="AB145:AB147">
    <cfRule type="cellIs" dxfId="395" priority="502" operator="equal">
      <formula>"Muy Alta"</formula>
    </cfRule>
    <cfRule type="cellIs" dxfId="394" priority="503" operator="equal">
      <formula>"Alta"</formula>
    </cfRule>
    <cfRule type="cellIs" dxfId="393" priority="504" operator="equal">
      <formula>"Media"</formula>
    </cfRule>
    <cfRule type="cellIs" dxfId="392" priority="505" operator="equal">
      <formula>"Baja"</formula>
    </cfRule>
    <cfRule type="cellIs" dxfId="391" priority="506" operator="equal">
      <formula>"Muy Baja"</formula>
    </cfRule>
  </conditionalFormatting>
  <conditionalFormatting sqref="AD145:AD147">
    <cfRule type="cellIs" dxfId="390" priority="497" operator="equal">
      <formula>"Catastrófico"</formula>
    </cfRule>
    <cfRule type="cellIs" dxfId="389" priority="498" operator="equal">
      <formula>"Mayor"</formula>
    </cfRule>
    <cfRule type="cellIs" dxfId="388" priority="499" operator="equal">
      <formula>"Moderado"</formula>
    </cfRule>
    <cfRule type="cellIs" dxfId="387" priority="500" operator="equal">
      <formula>"Menor"</formula>
    </cfRule>
    <cfRule type="cellIs" dxfId="386" priority="501" operator="equal">
      <formula>"Leve"</formula>
    </cfRule>
  </conditionalFormatting>
  <conditionalFormatting sqref="AF145:AF147">
    <cfRule type="cellIs" dxfId="385" priority="493" operator="equal">
      <formula>"Extremo"</formula>
    </cfRule>
    <cfRule type="cellIs" dxfId="384" priority="494" operator="equal">
      <formula>"Alto"</formula>
    </cfRule>
    <cfRule type="cellIs" dxfId="383" priority="495" operator="equal">
      <formula>"Moderado"</formula>
    </cfRule>
    <cfRule type="cellIs" dxfId="382" priority="496" operator="equal">
      <formula>"Bajo"</formula>
    </cfRule>
  </conditionalFormatting>
  <conditionalFormatting sqref="N145:N147">
    <cfRule type="containsText" dxfId="381" priority="492" operator="containsText" text="❌">
      <formula>NOT(ISERROR(SEARCH("❌",N145)))</formula>
    </cfRule>
  </conditionalFormatting>
  <conditionalFormatting sqref="AB148">
    <cfRule type="cellIs" dxfId="380" priority="487" operator="equal">
      <formula>"Muy Alta"</formula>
    </cfRule>
    <cfRule type="cellIs" dxfId="379" priority="488" operator="equal">
      <formula>"Alta"</formula>
    </cfRule>
    <cfRule type="cellIs" dxfId="378" priority="489" operator="equal">
      <formula>"Media"</formula>
    </cfRule>
    <cfRule type="cellIs" dxfId="377" priority="490" operator="equal">
      <formula>"Baja"</formula>
    </cfRule>
    <cfRule type="cellIs" dxfId="376" priority="491" operator="equal">
      <formula>"Muy Baja"</formula>
    </cfRule>
  </conditionalFormatting>
  <conditionalFormatting sqref="AD148">
    <cfRule type="cellIs" dxfId="375" priority="482" operator="equal">
      <formula>"Catastrófico"</formula>
    </cfRule>
    <cfRule type="cellIs" dxfId="374" priority="483" operator="equal">
      <formula>"Mayor"</formula>
    </cfRule>
    <cfRule type="cellIs" dxfId="373" priority="484" operator="equal">
      <formula>"Moderado"</formula>
    </cfRule>
    <cfRule type="cellIs" dxfId="372" priority="485" operator="equal">
      <formula>"Menor"</formula>
    </cfRule>
    <cfRule type="cellIs" dxfId="371" priority="486" operator="equal">
      <formula>"Leve"</formula>
    </cfRule>
  </conditionalFormatting>
  <conditionalFormatting sqref="AF148">
    <cfRule type="cellIs" dxfId="370" priority="478" operator="equal">
      <formula>"Extremo"</formula>
    </cfRule>
    <cfRule type="cellIs" dxfId="369" priority="479" operator="equal">
      <formula>"Alto"</formula>
    </cfRule>
    <cfRule type="cellIs" dxfId="368" priority="480" operator="equal">
      <formula>"Moderado"</formula>
    </cfRule>
    <cfRule type="cellIs" dxfId="367" priority="481" operator="equal">
      <formula>"Bajo"</formula>
    </cfRule>
  </conditionalFormatting>
  <conditionalFormatting sqref="AB149">
    <cfRule type="cellIs" dxfId="366" priority="473" operator="equal">
      <formula>"Muy Alta"</formula>
    </cfRule>
    <cfRule type="cellIs" dxfId="365" priority="474" operator="equal">
      <formula>"Alta"</formula>
    </cfRule>
    <cfRule type="cellIs" dxfId="364" priority="475" operator="equal">
      <formula>"Media"</formula>
    </cfRule>
    <cfRule type="cellIs" dxfId="363" priority="476" operator="equal">
      <formula>"Baja"</formula>
    </cfRule>
    <cfRule type="cellIs" dxfId="362" priority="477" operator="equal">
      <formula>"Muy Baja"</formula>
    </cfRule>
  </conditionalFormatting>
  <conditionalFormatting sqref="AD149">
    <cfRule type="cellIs" dxfId="361" priority="468" operator="equal">
      <formula>"Catastrófico"</formula>
    </cfRule>
    <cfRule type="cellIs" dxfId="360" priority="469" operator="equal">
      <formula>"Mayor"</formula>
    </cfRule>
    <cfRule type="cellIs" dxfId="359" priority="470" operator="equal">
      <formula>"Moderado"</formula>
    </cfRule>
    <cfRule type="cellIs" dxfId="358" priority="471" operator="equal">
      <formula>"Menor"</formula>
    </cfRule>
    <cfRule type="cellIs" dxfId="357" priority="472" operator="equal">
      <formula>"Leve"</formula>
    </cfRule>
  </conditionalFormatting>
  <conditionalFormatting sqref="AF149">
    <cfRule type="cellIs" dxfId="356" priority="464" operator="equal">
      <formula>"Extremo"</formula>
    </cfRule>
    <cfRule type="cellIs" dxfId="355" priority="465" operator="equal">
      <formula>"Alto"</formula>
    </cfRule>
    <cfRule type="cellIs" dxfId="354" priority="466" operator="equal">
      <formula>"Moderado"</formula>
    </cfRule>
    <cfRule type="cellIs" dxfId="353" priority="467" operator="equal">
      <formula>"Bajo"</formula>
    </cfRule>
  </conditionalFormatting>
  <conditionalFormatting sqref="AB150">
    <cfRule type="cellIs" dxfId="352" priority="459" operator="equal">
      <formula>"Muy Alta"</formula>
    </cfRule>
    <cfRule type="cellIs" dxfId="351" priority="460" operator="equal">
      <formula>"Alta"</formula>
    </cfRule>
    <cfRule type="cellIs" dxfId="350" priority="461" operator="equal">
      <formula>"Media"</formula>
    </cfRule>
    <cfRule type="cellIs" dxfId="349" priority="462" operator="equal">
      <formula>"Baja"</formula>
    </cfRule>
    <cfRule type="cellIs" dxfId="348" priority="463" operator="equal">
      <formula>"Muy Baja"</formula>
    </cfRule>
  </conditionalFormatting>
  <conditionalFormatting sqref="AD150">
    <cfRule type="cellIs" dxfId="347" priority="454" operator="equal">
      <formula>"Catastrófico"</formula>
    </cfRule>
    <cfRule type="cellIs" dxfId="346" priority="455" operator="equal">
      <formula>"Mayor"</formula>
    </cfRule>
    <cfRule type="cellIs" dxfId="345" priority="456" operator="equal">
      <formula>"Moderado"</formula>
    </cfRule>
    <cfRule type="cellIs" dxfId="344" priority="457" operator="equal">
      <formula>"Menor"</formula>
    </cfRule>
    <cfRule type="cellIs" dxfId="343" priority="458" operator="equal">
      <formula>"Leve"</formula>
    </cfRule>
  </conditionalFormatting>
  <conditionalFormatting sqref="AF150">
    <cfRule type="cellIs" dxfId="342" priority="450" operator="equal">
      <formula>"Extremo"</formula>
    </cfRule>
    <cfRule type="cellIs" dxfId="341" priority="451" operator="equal">
      <formula>"Alto"</formula>
    </cfRule>
    <cfRule type="cellIs" dxfId="340" priority="452" operator="equal">
      <formula>"Moderado"</formula>
    </cfRule>
    <cfRule type="cellIs" dxfId="339" priority="453" operator="equal">
      <formula>"Bajo"</formula>
    </cfRule>
  </conditionalFormatting>
  <conditionalFormatting sqref="K148">
    <cfRule type="cellIs" dxfId="338" priority="445" operator="equal">
      <formula>"Muy Alta"</formula>
    </cfRule>
    <cfRule type="cellIs" dxfId="337" priority="446" operator="equal">
      <formula>"Alta"</formula>
    </cfRule>
    <cfRule type="cellIs" dxfId="336" priority="447" operator="equal">
      <formula>"Media"</formula>
    </cfRule>
    <cfRule type="cellIs" dxfId="335" priority="448" operator="equal">
      <formula>"Baja"</formula>
    </cfRule>
    <cfRule type="cellIs" dxfId="334" priority="449" operator="equal">
      <formula>"Muy Baja"</formula>
    </cfRule>
  </conditionalFormatting>
  <conditionalFormatting sqref="O148">
    <cfRule type="cellIs" dxfId="333" priority="440" operator="equal">
      <formula>"Catastrófico"</formula>
    </cfRule>
    <cfRule type="cellIs" dxfId="332" priority="441" operator="equal">
      <formula>"Mayor"</formula>
    </cfRule>
    <cfRule type="cellIs" dxfId="331" priority="442" operator="equal">
      <formula>"Moderado"</formula>
    </cfRule>
    <cfRule type="cellIs" dxfId="330" priority="443" operator="equal">
      <formula>"Menor"</formula>
    </cfRule>
    <cfRule type="cellIs" dxfId="329" priority="444" operator="equal">
      <formula>"Leve"</formula>
    </cfRule>
  </conditionalFormatting>
  <conditionalFormatting sqref="Q148">
    <cfRule type="cellIs" dxfId="328" priority="436" operator="equal">
      <formula>"Extremo"</formula>
    </cfRule>
    <cfRule type="cellIs" dxfId="327" priority="437" operator="equal">
      <formula>"Alto"</formula>
    </cfRule>
    <cfRule type="cellIs" dxfId="326" priority="438" operator="equal">
      <formula>"Moderado"</formula>
    </cfRule>
    <cfRule type="cellIs" dxfId="325" priority="439" operator="equal">
      <formula>"Bajo"</formula>
    </cfRule>
  </conditionalFormatting>
  <conditionalFormatting sqref="N148:N150">
    <cfRule type="containsText" dxfId="324" priority="435" operator="containsText" text="❌">
      <formula>NOT(ISERROR(SEARCH("❌",N148)))</formula>
    </cfRule>
  </conditionalFormatting>
  <conditionalFormatting sqref="AB148:AB150">
    <cfRule type="cellIs" dxfId="323" priority="430" operator="equal">
      <formula>"Muy Alta"</formula>
    </cfRule>
    <cfRule type="cellIs" dxfId="322" priority="431" operator="equal">
      <formula>"Alta"</formula>
    </cfRule>
    <cfRule type="cellIs" dxfId="321" priority="432" operator="equal">
      <formula>"Media"</formula>
    </cfRule>
    <cfRule type="cellIs" dxfId="320" priority="433" operator="equal">
      <formula>"Baja"</formula>
    </cfRule>
    <cfRule type="cellIs" dxfId="319" priority="434" operator="equal">
      <formula>"Muy Baja"</formula>
    </cfRule>
  </conditionalFormatting>
  <conditionalFormatting sqref="AD148:AD150">
    <cfRule type="cellIs" dxfId="318" priority="425" operator="equal">
      <formula>"Catastrófico"</formula>
    </cfRule>
    <cfRule type="cellIs" dxfId="317" priority="426" operator="equal">
      <formula>"Mayor"</formula>
    </cfRule>
    <cfRule type="cellIs" dxfId="316" priority="427" operator="equal">
      <formula>"Moderado"</formula>
    </cfRule>
    <cfRule type="cellIs" dxfId="315" priority="428" operator="equal">
      <formula>"Menor"</formula>
    </cfRule>
    <cfRule type="cellIs" dxfId="314" priority="429" operator="equal">
      <formula>"Leve"</formula>
    </cfRule>
  </conditionalFormatting>
  <conditionalFormatting sqref="AF148:AF150">
    <cfRule type="cellIs" dxfId="313" priority="421" operator="equal">
      <formula>"Extremo"</formula>
    </cfRule>
    <cfRule type="cellIs" dxfId="312" priority="422" operator="equal">
      <formula>"Alto"</formula>
    </cfRule>
    <cfRule type="cellIs" dxfId="311" priority="423" operator="equal">
      <formula>"Moderado"</formula>
    </cfRule>
    <cfRule type="cellIs" dxfId="310" priority="424" operator="equal">
      <formula>"Bajo"</formula>
    </cfRule>
  </conditionalFormatting>
  <conditionalFormatting sqref="N148:N150">
    <cfRule type="containsText" dxfId="309" priority="420" operator="containsText" text="❌">
      <formula>NOT(ISERROR(SEARCH("❌",N148)))</formula>
    </cfRule>
  </conditionalFormatting>
  <conditionalFormatting sqref="AB151">
    <cfRule type="cellIs" dxfId="308" priority="415" operator="equal">
      <formula>"Muy Alta"</formula>
    </cfRule>
    <cfRule type="cellIs" dxfId="307" priority="416" operator="equal">
      <formula>"Alta"</formula>
    </cfRule>
    <cfRule type="cellIs" dxfId="306" priority="417" operator="equal">
      <formula>"Media"</formula>
    </cfRule>
    <cfRule type="cellIs" dxfId="305" priority="418" operator="equal">
      <formula>"Baja"</formula>
    </cfRule>
    <cfRule type="cellIs" dxfId="304" priority="419" operator="equal">
      <formula>"Muy Baja"</formula>
    </cfRule>
  </conditionalFormatting>
  <conditionalFormatting sqref="AD151">
    <cfRule type="cellIs" dxfId="303" priority="410" operator="equal">
      <formula>"Catastrófico"</formula>
    </cfRule>
    <cfRule type="cellIs" dxfId="302" priority="411" operator="equal">
      <formula>"Mayor"</formula>
    </cfRule>
    <cfRule type="cellIs" dxfId="301" priority="412" operator="equal">
      <formula>"Moderado"</formula>
    </cfRule>
    <cfRule type="cellIs" dxfId="300" priority="413" operator="equal">
      <formula>"Menor"</formula>
    </cfRule>
    <cfRule type="cellIs" dxfId="299" priority="414" operator="equal">
      <formula>"Leve"</formula>
    </cfRule>
  </conditionalFormatting>
  <conditionalFormatting sqref="AF151">
    <cfRule type="cellIs" dxfId="298" priority="406" operator="equal">
      <formula>"Extremo"</formula>
    </cfRule>
    <cfRule type="cellIs" dxfId="297" priority="407" operator="equal">
      <formula>"Alto"</formula>
    </cfRule>
    <cfRule type="cellIs" dxfId="296" priority="408" operator="equal">
      <formula>"Moderado"</formula>
    </cfRule>
    <cfRule type="cellIs" dxfId="295" priority="409" operator="equal">
      <formula>"Bajo"</formula>
    </cfRule>
  </conditionalFormatting>
  <conditionalFormatting sqref="AB152">
    <cfRule type="cellIs" dxfId="294" priority="401" operator="equal">
      <formula>"Muy Alta"</formula>
    </cfRule>
    <cfRule type="cellIs" dxfId="293" priority="402" operator="equal">
      <formula>"Alta"</formula>
    </cfRule>
    <cfRule type="cellIs" dxfId="292" priority="403" operator="equal">
      <formula>"Media"</formula>
    </cfRule>
    <cfRule type="cellIs" dxfId="291" priority="404" operator="equal">
      <formula>"Baja"</formula>
    </cfRule>
    <cfRule type="cellIs" dxfId="290" priority="405" operator="equal">
      <formula>"Muy Baja"</formula>
    </cfRule>
  </conditionalFormatting>
  <conditionalFormatting sqref="AD152">
    <cfRule type="cellIs" dxfId="289" priority="396" operator="equal">
      <formula>"Catastrófico"</formula>
    </cfRule>
    <cfRule type="cellIs" dxfId="288" priority="397" operator="equal">
      <formula>"Mayor"</formula>
    </cfRule>
    <cfRule type="cellIs" dxfId="287" priority="398" operator="equal">
      <formula>"Moderado"</formula>
    </cfRule>
    <cfRule type="cellIs" dxfId="286" priority="399" operator="equal">
      <formula>"Menor"</formula>
    </cfRule>
    <cfRule type="cellIs" dxfId="285" priority="400" operator="equal">
      <formula>"Leve"</formula>
    </cfRule>
  </conditionalFormatting>
  <conditionalFormatting sqref="AF152">
    <cfRule type="cellIs" dxfId="284" priority="392" operator="equal">
      <formula>"Extremo"</formula>
    </cfRule>
    <cfRule type="cellIs" dxfId="283" priority="393" operator="equal">
      <formula>"Alto"</formula>
    </cfRule>
    <cfRule type="cellIs" dxfId="282" priority="394" operator="equal">
      <formula>"Moderado"</formula>
    </cfRule>
    <cfRule type="cellIs" dxfId="281" priority="395" operator="equal">
      <formula>"Bajo"</formula>
    </cfRule>
  </conditionalFormatting>
  <conditionalFormatting sqref="AB153">
    <cfRule type="cellIs" dxfId="280" priority="387" operator="equal">
      <formula>"Muy Alta"</formula>
    </cfRule>
    <cfRule type="cellIs" dxfId="279" priority="388" operator="equal">
      <formula>"Alta"</formula>
    </cfRule>
    <cfRule type="cellIs" dxfId="278" priority="389" operator="equal">
      <formula>"Media"</formula>
    </cfRule>
    <cfRule type="cellIs" dxfId="277" priority="390" operator="equal">
      <formula>"Baja"</formula>
    </cfRule>
    <cfRule type="cellIs" dxfId="276" priority="391" operator="equal">
      <formula>"Muy Baja"</formula>
    </cfRule>
  </conditionalFormatting>
  <conditionalFormatting sqref="AD153">
    <cfRule type="cellIs" dxfId="275" priority="382" operator="equal">
      <formula>"Catastrófico"</formula>
    </cfRule>
    <cfRule type="cellIs" dxfId="274" priority="383" operator="equal">
      <formula>"Mayor"</formula>
    </cfRule>
    <cfRule type="cellIs" dxfId="273" priority="384" operator="equal">
      <formula>"Moderado"</formula>
    </cfRule>
    <cfRule type="cellIs" dxfId="272" priority="385" operator="equal">
      <formula>"Menor"</formula>
    </cfRule>
    <cfRule type="cellIs" dxfId="271" priority="386" operator="equal">
      <formula>"Leve"</formula>
    </cfRule>
  </conditionalFormatting>
  <conditionalFormatting sqref="AF153">
    <cfRule type="cellIs" dxfId="270" priority="378" operator="equal">
      <formula>"Extremo"</formula>
    </cfRule>
    <cfRule type="cellIs" dxfId="269" priority="379" operator="equal">
      <formula>"Alto"</formula>
    </cfRule>
    <cfRule type="cellIs" dxfId="268" priority="380" operator="equal">
      <formula>"Moderado"</formula>
    </cfRule>
    <cfRule type="cellIs" dxfId="267" priority="381" operator="equal">
      <formula>"Bajo"</formula>
    </cfRule>
  </conditionalFormatting>
  <conditionalFormatting sqref="K151">
    <cfRule type="cellIs" dxfId="266" priority="373" operator="equal">
      <formula>"Muy Alta"</formula>
    </cfRule>
    <cfRule type="cellIs" dxfId="265" priority="374" operator="equal">
      <formula>"Alta"</formula>
    </cfRule>
    <cfRule type="cellIs" dxfId="264" priority="375" operator="equal">
      <formula>"Media"</formula>
    </cfRule>
    <cfRule type="cellIs" dxfId="263" priority="376" operator="equal">
      <formula>"Baja"</formula>
    </cfRule>
    <cfRule type="cellIs" dxfId="262" priority="377" operator="equal">
      <formula>"Muy Baja"</formula>
    </cfRule>
  </conditionalFormatting>
  <conditionalFormatting sqref="O151">
    <cfRule type="cellIs" dxfId="261" priority="368" operator="equal">
      <formula>"Catastrófico"</formula>
    </cfRule>
    <cfRule type="cellIs" dxfId="260" priority="369" operator="equal">
      <formula>"Mayor"</formula>
    </cfRule>
    <cfRule type="cellIs" dxfId="259" priority="370" operator="equal">
      <formula>"Moderado"</formula>
    </cfRule>
    <cfRule type="cellIs" dxfId="258" priority="371" operator="equal">
      <formula>"Menor"</formula>
    </cfRule>
    <cfRule type="cellIs" dxfId="257" priority="372" operator="equal">
      <formula>"Leve"</formula>
    </cfRule>
  </conditionalFormatting>
  <conditionalFormatting sqref="Q151">
    <cfRule type="cellIs" dxfId="256" priority="364" operator="equal">
      <formula>"Extremo"</formula>
    </cfRule>
    <cfRule type="cellIs" dxfId="255" priority="365" operator="equal">
      <formula>"Alto"</formula>
    </cfRule>
    <cfRule type="cellIs" dxfId="254" priority="366" operator="equal">
      <formula>"Moderado"</formula>
    </cfRule>
    <cfRule type="cellIs" dxfId="253" priority="367" operator="equal">
      <formula>"Bajo"</formula>
    </cfRule>
  </conditionalFormatting>
  <conditionalFormatting sqref="N151:N153">
    <cfRule type="containsText" dxfId="252" priority="363" operator="containsText" text="❌">
      <formula>NOT(ISERROR(SEARCH("❌",N151)))</formula>
    </cfRule>
  </conditionalFormatting>
  <conditionalFormatting sqref="AB151:AB153">
    <cfRule type="cellIs" dxfId="251" priority="358" operator="equal">
      <formula>"Muy Alta"</formula>
    </cfRule>
    <cfRule type="cellIs" dxfId="250" priority="359" operator="equal">
      <formula>"Alta"</formula>
    </cfRule>
    <cfRule type="cellIs" dxfId="249" priority="360" operator="equal">
      <formula>"Media"</formula>
    </cfRule>
    <cfRule type="cellIs" dxfId="248" priority="361" operator="equal">
      <formula>"Baja"</formula>
    </cfRule>
    <cfRule type="cellIs" dxfId="247" priority="362" operator="equal">
      <formula>"Muy Baja"</formula>
    </cfRule>
  </conditionalFormatting>
  <conditionalFormatting sqref="AD151:AD153">
    <cfRule type="cellIs" dxfId="246" priority="353" operator="equal">
      <formula>"Catastrófico"</formula>
    </cfRule>
    <cfRule type="cellIs" dxfId="245" priority="354" operator="equal">
      <formula>"Mayor"</formula>
    </cfRule>
    <cfRule type="cellIs" dxfId="244" priority="355" operator="equal">
      <formula>"Moderado"</formula>
    </cfRule>
    <cfRule type="cellIs" dxfId="243" priority="356" operator="equal">
      <formula>"Menor"</formula>
    </cfRule>
    <cfRule type="cellIs" dxfId="242" priority="357" operator="equal">
      <formula>"Leve"</formula>
    </cfRule>
  </conditionalFormatting>
  <conditionalFormatting sqref="AF151:AF153">
    <cfRule type="cellIs" dxfId="241" priority="349" operator="equal">
      <formula>"Extremo"</formula>
    </cfRule>
    <cfRule type="cellIs" dxfId="240" priority="350" operator="equal">
      <formula>"Alto"</formula>
    </cfRule>
    <cfRule type="cellIs" dxfId="239" priority="351" operator="equal">
      <formula>"Moderado"</formula>
    </cfRule>
    <cfRule type="cellIs" dxfId="238" priority="352" operator="equal">
      <formula>"Bajo"</formula>
    </cfRule>
  </conditionalFormatting>
  <conditionalFormatting sqref="N151:N153">
    <cfRule type="containsText" dxfId="237" priority="348" operator="containsText" text="❌">
      <formula>NOT(ISERROR(SEARCH("❌",N151)))</formula>
    </cfRule>
  </conditionalFormatting>
  <conditionalFormatting sqref="AB17">
    <cfRule type="cellIs" dxfId="236" priority="343" operator="equal">
      <formula>"Muy Alta"</formula>
    </cfRule>
    <cfRule type="cellIs" dxfId="235" priority="344" operator="equal">
      <formula>"Alta"</formula>
    </cfRule>
    <cfRule type="cellIs" dxfId="234" priority="345" operator="equal">
      <formula>"Media"</formula>
    </cfRule>
    <cfRule type="cellIs" dxfId="233" priority="346" operator="equal">
      <formula>"Baja"</formula>
    </cfRule>
    <cfRule type="cellIs" dxfId="232" priority="347" operator="equal">
      <formula>"Muy Baja"</formula>
    </cfRule>
  </conditionalFormatting>
  <conditionalFormatting sqref="AD17">
    <cfRule type="cellIs" dxfId="231" priority="338" operator="equal">
      <formula>"Catastrófico"</formula>
    </cfRule>
    <cfRule type="cellIs" dxfId="230" priority="339" operator="equal">
      <formula>"Mayor"</formula>
    </cfRule>
    <cfRule type="cellIs" dxfId="229" priority="340" operator="equal">
      <formula>"Moderado"</formula>
    </cfRule>
    <cfRule type="cellIs" dxfId="228" priority="341" operator="equal">
      <formula>"Menor"</formula>
    </cfRule>
    <cfRule type="cellIs" dxfId="227" priority="342" operator="equal">
      <formula>"Leve"</formula>
    </cfRule>
  </conditionalFormatting>
  <conditionalFormatting sqref="AF17">
    <cfRule type="cellIs" dxfId="226" priority="334" operator="equal">
      <formula>"Extremo"</formula>
    </cfRule>
    <cfRule type="cellIs" dxfId="225" priority="335" operator="equal">
      <formula>"Alto"</formula>
    </cfRule>
    <cfRule type="cellIs" dxfId="224" priority="336" operator="equal">
      <formula>"Moderado"</formula>
    </cfRule>
    <cfRule type="cellIs" dxfId="223" priority="337" operator="equal">
      <formula>"Bajo"</formula>
    </cfRule>
  </conditionalFormatting>
  <conditionalFormatting sqref="AB18">
    <cfRule type="cellIs" dxfId="222" priority="329" operator="equal">
      <formula>"Muy Alta"</formula>
    </cfRule>
    <cfRule type="cellIs" dxfId="221" priority="330" operator="equal">
      <formula>"Alta"</formula>
    </cfRule>
    <cfRule type="cellIs" dxfId="220" priority="331" operator="equal">
      <formula>"Media"</formula>
    </cfRule>
    <cfRule type="cellIs" dxfId="219" priority="332" operator="equal">
      <formula>"Baja"</formula>
    </cfRule>
    <cfRule type="cellIs" dxfId="218" priority="333" operator="equal">
      <formula>"Muy Baja"</formula>
    </cfRule>
  </conditionalFormatting>
  <conditionalFormatting sqref="AD18">
    <cfRule type="cellIs" dxfId="217" priority="324" operator="equal">
      <formula>"Catastrófico"</formula>
    </cfRule>
    <cfRule type="cellIs" dxfId="216" priority="325" operator="equal">
      <formula>"Mayor"</formula>
    </cfRule>
    <cfRule type="cellIs" dxfId="215" priority="326" operator="equal">
      <formula>"Moderado"</formula>
    </cfRule>
    <cfRule type="cellIs" dxfId="214" priority="327" operator="equal">
      <formula>"Menor"</formula>
    </cfRule>
    <cfRule type="cellIs" dxfId="213" priority="328" operator="equal">
      <formula>"Leve"</formula>
    </cfRule>
  </conditionalFormatting>
  <conditionalFormatting sqref="AF18">
    <cfRule type="cellIs" dxfId="212" priority="320" operator="equal">
      <formula>"Extremo"</formula>
    </cfRule>
    <cfRule type="cellIs" dxfId="211" priority="321" operator="equal">
      <formula>"Alto"</formula>
    </cfRule>
    <cfRule type="cellIs" dxfId="210" priority="322" operator="equal">
      <formula>"Moderado"</formula>
    </cfRule>
    <cfRule type="cellIs" dxfId="209" priority="323" operator="equal">
      <formula>"Bajo"</formula>
    </cfRule>
  </conditionalFormatting>
  <conditionalFormatting sqref="AB20">
    <cfRule type="cellIs" dxfId="208" priority="315" operator="equal">
      <formula>"Muy Alta"</formula>
    </cfRule>
    <cfRule type="cellIs" dxfId="207" priority="316" operator="equal">
      <formula>"Alta"</formula>
    </cfRule>
    <cfRule type="cellIs" dxfId="206" priority="317" operator="equal">
      <formula>"Media"</formula>
    </cfRule>
    <cfRule type="cellIs" dxfId="205" priority="318" operator="equal">
      <formula>"Baja"</formula>
    </cfRule>
    <cfRule type="cellIs" dxfId="204" priority="319" operator="equal">
      <formula>"Muy Baja"</formula>
    </cfRule>
  </conditionalFormatting>
  <conditionalFormatting sqref="AD20">
    <cfRule type="cellIs" dxfId="203" priority="310" operator="equal">
      <formula>"Catastrófico"</formula>
    </cfRule>
    <cfRule type="cellIs" dxfId="202" priority="311" operator="equal">
      <formula>"Mayor"</formula>
    </cfRule>
    <cfRule type="cellIs" dxfId="201" priority="312" operator="equal">
      <formula>"Moderado"</formula>
    </cfRule>
    <cfRule type="cellIs" dxfId="200" priority="313" operator="equal">
      <formula>"Menor"</formula>
    </cfRule>
    <cfRule type="cellIs" dxfId="199" priority="314" operator="equal">
      <formula>"Leve"</formula>
    </cfRule>
  </conditionalFormatting>
  <conditionalFormatting sqref="AF20">
    <cfRule type="cellIs" dxfId="198" priority="306" operator="equal">
      <formula>"Extremo"</formula>
    </cfRule>
    <cfRule type="cellIs" dxfId="197" priority="307" operator="equal">
      <formula>"Alto"</formula>
    </cfRule>
    <cfRule type="cellIs" dxfId="196" priority="308" operator="equal">
      <formula>"Moderado"</formula>
    </cfRule>
    <cfRule type="cellIs" dxfId="195" priority="309" operator="equal">
      <formula>"Bajo"</formula>
    </cfRule>
  </conditionalFormatting>
  <conditionalFormatting sqref="AB21">
    <cfRule type="cellIs" dxfId="194" priority="301" operator="equal">
      <formula>"Muy Alta"</formula>
    </cfRule>
    <cfRule type="cellIs" dxfId="193" priority="302" operator="equal">
      <formula>"Alta"</formula>
    </cfRule>
    <cfRule type="cellIs" dxfId="192" priority="303" operator="equal">
      <formula>"Media"</formula>
    </cfRule>
    <cfRule type="cellIs" dxfId="191" priority="304" operator="equal">
      <formula>"Baja"</formula>
    </cfRule>
    <cfRule type="cellIs" dxfId="190" priority="305" operator="equal">
      <formula>"Muy Baja"</formula>
    </cfRule>
  </conditionalFormatting>
  <conditionalFormatting sqref="AD21">
    <cfRule type="cellIs" dxfId="189" priority="296" operator="equal">
      <formula>"Catastrófico"</formula>
    </cfRule>
    <cfRule type="cellIs" dxfId="188" priority="297" operator="equal">
      <formula>"Mayor"</formula>
    </cfRule>
    <cfRule type="cellIs" dxfId="187" priority="298" operator="equal">
      <formula>"Moderado"</formula>
    </cfRule>
    <cfRule type="cellIs" dxfId="186" priority="299" operator="equal">
      <formula>"Menor"</formula>
    </cfRule>
    <cfRule type="cellIs" dxfId="185" priority="300" operator="equal">
      <formula>"Leve"</formula>
    </cfRule>
  </conditionalFormatting>
  <conditionalFormatting sqref="AF21">
    <cfRule type="cellIs" dxfId="184" priority="292" operator="equal">
      <formula>"Extremo"</formula>
    </cfRule>
    <cfRule type="cellIs" dxfId="183" priority="293" operator="equal">
      <formula>"Alto"</formula>
    </cfRule>
    <cfRule type="cellIs" dxfId="182" priority="294" operator="equal">
      <formula>"Moderado"</formula>
    </cfRule>
    <cfRule type="cellIs" dxfId="181" priority="295" operator="equal">
      <formula>"Bajo"</formula>
    </cfRule>
  </conditionalFormatting>
  <conditionalFormatting sqref="O7">
    <cfRule type="cellIs" dxfId="180" priority="287" operator="equal">
      <formula>"Catastrófico"</formula>
    </cfRule>
    <cfRule type="cellIs" dxfId="179" priority="288" operator="equal">
      <formula>"Mayor"</formula>
    </cfRule>
    <cfRule type="cellIs" dxfId="178" priority="289" operator="equal">
      <formula>"Moderado"</formula>
    </cfRule>
    <cfRule type="cellIs" dxfId="177" priority="290" operator="equal">
      <formula>"Menor"</formula>
    </cfRule>
    <cfRule type="cellIs" dxfId="176" priority="291" operator="equal">
      <formula>"Leve"</formula>
    </cfRule>
  </conditionalFormatting>
  <conditionalFormatting sqref="AB85">
    <cfRule type="cellIs" dxfId="175" priority="210" operator="equal">
      <formula>"Muy Alta"</formula>
    </cfRule>
    <cfRule type="cellIs" dxfId="174" priority="211" operator="equal">
      <formula>"Alta"</formula>
    </cfRule>
    <cfRule type="cellIs" dxfId="173" priority="212" operator="equal">
      <formula>"Media"</formula>
    </cfRule>
    <cfRule type="cellIs" dxfId="172" priority="213" operator="equal">
      <formula>"Baja"</formula>
    </cfRule>
    <cfRule type="cellIs" dxfId="171" priority="214" operator="equal">
      <formula>"Muy Baja"</formula>
    </cfRule>
  </conditionalFormatting>
  <conditionalFormatting sqref="AD85">
    <cfRule type="cellIs" dxfId="170" priority="205" operator="equal">
      <formula>"Catastrófico"</formula>
    </cfRule>
    <cfRule type="cellIs" dxfId="169" priority="206" operator="equal">
      <formula>"Mayor"</formula>
    </cfRule>
    <cfRule type="cellIs" dxfId="168" priority="207" operator="equal">
      <formula>"Moderado"</formula>
    </cfRule>
    <cfRule type="cellIs" dxfId="167" priority="208" operator="equal">
      <formula>"Menor"</formula>
    </cfRule>
    <cfRule type="cellIs" dxfId="166" priority="209" operator="equal">
      <formula>"Leve"</formula>
    </cfRule>
  </conditionalFormatting>
  <conditionalFormatting sqref="AF85">
    <cfRule type="cellIs" dxfId="165" priority="201" operator="equal">
      <formula>"Extremo"</formula>
    </cfRule>
    <cfRule type="cellIs" dxfId="164" priority="202" operator="equal">
      <formula>"Alto"</formula>
    </cfRule>
    <cfRule type="cellIs" dxfId="163" priority="203" operator="equal">
      <formula>"Moderado"</formula>
    </cfRule>
    <cfRule type="cellIs" dxfId="162" priority="204" operator="equal">
      <formula>"Bajo"</formula>
    </cfRule>
  </conditionalFormatting>
  <conditionalFormatting sqref="K85">
    <cfRule type="cellIs" dxfId="161" priority="168" operator="equal">
      <formula>"Muy Alta"</formula>
    </cfRule>
    <cfRule type="cellIs" dxfId="160" priority="169" operator="equal">
      <formula>"Alta"</formula>
    </cfRule>
    <cfRule type="cellIs" dxfId="159" priority="170" operator="equal">
      <formula>"Media"</formula>
    </cfRule>
    <cfRule type="cellIs" dxfId="158" priority="171" operator="equal">
      <formula>"Baja"</formula>
    </cfRule>
    <cfRule type="cellIs" dxfId="157" priority="172" operator="equal">
      <formula>"Muy Baja"</formula>
    </cfRule>
  </conditionalFormatting>
  <conditionalFormatting sqref="AB86">
    <cfRule type="cellIs" dxfId="156" priority="196" operator="equal">
      <formula>"Muy Alta"</formula>
    </cfRule>
    <cfRule type="cellIs" dxfId="155" priority="197" operator="equal">
      <formula>"Alta"</formula>
    </cfRule>
    <cfRule type="cellIs" dxfId="154" priority="198" operator="equal">
      <formula>"Media"</formula>
    </cfRule>
    <cfRule type="cellIs" dxfId="153" priority="199" operator="equal">
      <formula>"Baja"</formula>
    </cfRule>
    <cfRule type="cellIs" dxfId="152" priority="200" operator="equal">
      <formula>"Muy Baja"</formula>
    </cfRule>
  </conditionalFormatting>
  <conditionalFormatting sqref="AD86">
    <cfRule type="cellIs" dxfId="151" priority="191" operator="equal">
      <formula>"Catastrófico"</formula>
    </cfRule>
    <cfRule type="cellIs" dxfId="150" priority="192" operator="equal">
      <formula>"Mayor"</formula>
    </cfRule>
    <cfRule type="cellIs" dxfId="149" priority="193" operator="equal">
      <formula>"Moderado"</formula>
    </cfRule>
    <cfRule type="cellIs" dxfId="148" priority="194" operator="equal">
      <formula>"Menor"</formula>
    </cfRule>
    <cfRule type="cellIs" dxfId="147" priority="195" operator="equal">
      <formula>"Leve"</formula>
    </cfRule>
  </conditionalFormatting>
  <conditionalFormatting sqref="AF86">
    <cfRule type="cellIs" dxfId="146" priority="187" operator="equal">
      <formula>"Extremo"</formula>
    </cfRule>
    <cfRule type="cellIs" dxfId="145" priority="188" operator="equal">
      <formula>"Alto"</formula>
    </cfRule>
    <cfRule type="cellIs" dxfId="144" priority="189" operator="equal">
      <formula>"Moderado"</formula>
    </cfRule>
    <cfRule type="cellIs" dxfId="143" priority="190" operator="equal">
      <formula>"Bajo"</formula>
    </cfRule>
  </conditionalFormatting>
  <conditionalFormatting sqref="AB87">
    <cfRule type="cellIs" dxfId="142" priority="182" operator="equal">
      <formula>"Muy Alta"</formula>
    </cfRule>
    <cfRule type="cellIs" dxfId="141" priority="183" operator="equal">
      <formula>"Alta"</formula>
    </cfRule>
    <cfRule type="cellIs" dxfId="140" priority="184" operator="equal">
      <formula>"Media"</formula>
    </cfRule>
    <cfRule type="cellIs" dxfId="139" priority="185" operator="equal">
      <formula>"Baja"</formula>
    </cfRule>
    <cfRule type="cellIs" dxfId="138" priority="186" operator="equal">
      <formula>"Muy Baja"</formula>
    </cfRule>
  </conditionalFormatting>
  <conditionalFormatting sqref="AD87">
    <cfRule type="cellIs" dxfId="137" priority="177" operator="equal">
      <formula>"Catastrófico"</formula>
    </cfRule>
    <cfRule type="cellIs" dxfId="136" priority="178" operator="equal">
      <formula>"Mayor"</formula>
    </cfRule>
    <cfRule type="cellIs" dxfId="135" priority="179" operator="equal">
      <formula>"Moderado"</formula>
    </cfRule>
    <cfRule type="cellIs" dxfId="134" priority="180" operator="equal">
      <formula>"Menor"</formula>
    </cfRule>
    <cfRule type="cellIs" dxfId="133" priority="181" operator="equal">
      <formula>"Leve"</formula>
    </cfRule>
  </conditionalFormatting>
  <conditionalFormatting sqref="AF87">
    <cfRule type="cellIs" dxfId="132" priority="173" operator="equal">
      <formula>"Extremo"</formula>
    </cfRule>
    <cfRule type="cellIs" dxfId="131" priority="174" operator="equal">
      <formula>"Alto"</formula>
    </cfRule>
    <cfRule type="cellIs" dxfId="130" priority="175" operator="equal">
      <formula>"Moderado"</formula>
    </cfRule>
    <cfRule type="cellIs" dxfId="129" priority="176" operator="equal">
      <formula>"Bajo"</formula>
    </cfRule>
  </conditionalFormatting>
  <conditionalFormatting sqref="O85">
    <cfRule type="cellIs" dxfId="128" priority="163" operator="equal">
      <formula>"Catastrófico"</formula>
    </cfRule>
    <cfRule type="cellIs" dxfId="127" priority="164" operator="equal">
      <formula>"Mayor"</formula>
    </cfRule>
    <cfRule type="cellIs" dxfId="126" priority="165" operator="equal">
      <formula>"Moderado"</formula>
    </cfRule>
    <cfRule type="cellIs" dxfId="125" priority="166" operator="equal">
      <formula>"Menor"</formula>
    </cfRule>
    <cfRule type="cellIs" dxfId="124" priority="167" operator="equal">
      <formula>"Leve"</formula>
    </cfRule>
  </conditionalFormatting>
  <conditionalFormatting sqref="Q85">
    <cfRule type="cellIs" dxfId="123" priority="159" operator="equal">
      <formula>"Extremo"</formula>
    </cfRule>
    <cfRule type="cellIs" dxfId="122" priority="160" operator="equal">
      <formula>"Alto"</formula>
    </cfRule>
    <cfRule type="cellIs" dxfId="121" priority="161" operator="equal">
      <formula>"Moderado"</formula>
    </cfRule>
    <cfRule type="cellIs" dxfId="120" priority="162" operator="equal">
      <formula>"Bajo"</formula>
    </cfRule>
  </conditionalFormatting>
  <conditionalFormatting sqref="N85:N87">
    <cfRule type="containsText" dxfId="119" priority="158" operator="containsText" text="❌">
      <formula>NOT(ISERROR(SEARCH("❌",N85)))</formula>
    </cfRule>
  </conditionalFormatting>
  <conditionalFormatting sqref="AF99">
    <cfRule type="cellIs" dxfId="118" priority="102" operator="equal">
      <formula>"Extremo"</formula>
    </cfRule>
    <cfRule type="cellIs" dxfId="117" priority="103" operator="equal">
      <formula>"Alto"</formula>
    </cfRule>
    <cfRule type="cellIs" dxfId="116" priority="104" operator="equal">
      <formula>"Moderado"</formula>
    </cfRule>
    <cfRule type="cellIs" dxfId="115" priority="105" operator="equal">
      <formula>"Bajo"</formula>
    </cfRule>
  </conditionalFormatting>
  <conditionalFormatting sqref="AB99">
    <cfRule type="cellIs" dxfId="114" priority="111" operator="equal">
      <formula>"Muy Alta"</formula>
    </cfRule>
    <cfRule type="cellIs" dxfId="113" priority="112" operator="equal">
      <formula>"Alta"</formula>
    </cfRule>
    <cfRule type="cellIs" dxfId="112" priority="113" operator="equal">
      <formula>"Media"</formula>
    </cfRule>
    <cfRule type="cellIs" dxfId="111" priority="114" operator="equal">
      <formula>"Baja"</formula>
    </cfRule>
    <cfRule type="cellIs" dxfId="110" priority="115" operator="equal">
      <formula>"Muy Baja"</formula>
    </cfRule>
  </conditionalFormatting>
  <conditionalFormatting sqref="AD99">
    <cfRule type="cellIs" dxfId="109" priority="106" operator="equal">
      <formula>"Catastrófico"</formula>
    </cfRule>
    <cfRule type="cellIs" dxfId="108" priority="107" operator="equal">
      <formula>"Mayor"</formula>
    </cfRule>
    <cfRule type="cellIs" dxfId="107" priority="108" operator="equal">
      <formula>"Moderado"</formula>
    </cfRule>
    <cfRule type="cellIs" dxfId="106" priority="109" operator="equal">
      <formula>"Menor"</formula>
    </cfRule>
    <cfRule type="cellIs" dxfId="105" priority="110" operator="equal">
      <formula>"Leve"</formula>
    </cfRule>
  </conditionalFormatting>
  <conditionalFormatting sqref="AB100:AB102">
    <cfRule type="cellIs" dxfId="104" priority="97" operator="equal">
      <formula>"Muy Alta"</formula>
    </cfRule>
    <cfRule type="cellIs" dxfId="103" priority="98" operator="equal">
      <formula>"Alta"</formula>
    </cfRule>
    <cfRule type="cellIs" dxfId="102" priority="99" operator="equal">
      <formula>"Media"</formula>
    </cfRule>
    <cfRule type="cellIs" dxfId="101" priority="100" operator="equal">
      <formula>"Baja"</formula>
    </cfRule>
    <cfRule type="cellIs" dxfId="100" priority="101" operator="equal">
      <formula>"Muy Baja"</formula>
    </cfRule>
  </conditionalFormatting>
  <conditionalFormatting sqref="AD100:AD102">
    <cfRule type="cellIs" dxfId="99" priority="92" operator="equal">
      <formula>"Catastrófico"</formula>
    </cfRule>
    <cfRule type="cellIs" dxfId="98" priority="93" operator="equal">
      <formula>"Mayor"</formula>
    </cfRule>
    <cfRule type="cellIs" dxfId="97" priority="94" operator="equal">
      <formula>"Moderado"</formula>
    </cfRule>
    <cfRule type="cellIs" dxfId="96" priority="95" operator="equal">
      <formula>"Menor"</formula>
    </cfRule>
    <cfRule type="cellIs" dxfId="95" priority="96" operator="equal">
      <formula>"Leve"</formula>
    </cfRule>
  </conditionalFormatting>
  <conditionalFormatting sqref="AF100:AF102">
    <cfRule type="cellIs" dxfId="94" priority="88" operator="equal">
      <formula>"Extremo"</formula>
    </cfRule>
    <cfRule type="cellIs" dxfId="93" priority="89" operator="equal">
      <formula>"Alto"</formula>
    </cfRule>
    <cfRule type="cellIs" dxfId="92" priority="90" operator="equal">
      <formula>"Moderado"</formula>
    </cfRule>
    <cfRule type="cellIs" dxfId="91" priority="91" operator="equal">
      <formula>"Bajo"</formula>
    </cfRule>
  </conditionalFormatting>
  <conditionalFormatting sqref="K100">
    <cfRule type="cellIs" dxfId="90" priority="83" operator="equal">
      <formula>"Muy Alta"</formula>
    </cfRule>
    <cfRule type="cellIs" dxfId="89" priority="84" operator="equal">
      <formula>"Alta"</formula>
    </cfRule>
    <cfRule type="cellIs" dxfId="88" priority="85" operator="equal">
      <formula>"Media"</formula>
    </cfRule>
    <cfRule type="cellIs" dxfId="87" priority="86" operator="equal">
      <formula>"Baja"</formula>
    </cfRule>
    <cfRule type="cellIs" dxfId="86" priority="87" operator="equal">
      <formula>"Muy Baja"</formula>
    </cfRule>
  </conditionalFormatting>
  <conditionalFormatting sqref="O100">
    <cfRule type="cellIs" dxfId="85" priority="78" operator="equal">
      <formula>"Catastrófico"</formula>
    </cfRule>
    <cfRule type="cellIs" dxfId="84" priority="79" operator="equal">
      <formula>"Mayor"</formula>
    </cfRule>
    <cfRule type="cellIs" dxfId="83" priority="80" operator="equal">
      <formula>"Moderado"</formula>
    </cfRule>
    <cfRule type="cellIs" dxfId="82" priority="81" operator="equal">
      <formula>"Menor"</formula>
    </cfRule>
    <cfRule type="cellIs" dxfId="81" priority="82" operator="equal">
      <formula>"Leve"</formula>
    </cfRule>
  </conditionalFormatting>
  <conditionalFormatting sqref="Q100">
    <cfRule type="cellIs" dxfId="80" priority="74" operator="equal">
      <formula>"Extremo"</formula>
    </cfRule>
    <cfRule type="cellIs" dxfId="79" priority="75" operator="equal">
      <formula>"Alto"</formula>
    </cfRule>
    <cfRule type="cellIs" dxfId="78" priority="76" operator="equal">
      <formula>"Moderado"</formula>
    </cfRule>
    <cfRule type="cellIs" dxfId="77" priority="77" operator="equal">
      <formula>"Bajo"</formula>
    </cfRule>
  </conditionalFormatting>
  <conditionalFormatting sqref="N100">
    <cfRule type="containsText" dxfId="76" priority="73" operator="containsText" text="❌">
      <formula>NOT(ISERROR(SEARCH("❌",N100)))</formula>
    </cfRule>
  </conditionalFormatting>
  <conditionalFormatting sqref="AB100:AB102">
    <cfRule type="cellIs" dxfId="75" priority="68" operator="equal">
      <formula>"Muy Alta"</formula>
    </cfRule>
    <cfRule type="cellIs" dxfId="74" priority="69" operator="equal">
      <formula>"Alta"</formula>
    </cfRule>
    <cfRule type="cellIs" dxfId="73" priority="70" operator="equal">
      <formula>"Media"</formula>
    </cfRule>
    <cfRule type="cellIs" dxfId="72" priority="71" operator="equal">
      <formula>"Baja"</formula>
    </cfRule>
    <cfRule type="cellIs" dxfId="71" priority="72" operator="equal">
      <formula>"Muy Baja"</formula>
    </cfRule>
  </conditionalFormatting>
  <conditionalFormatting sqref="AD100:AD102">
    <cfRule type="cellIs" dxfId="70" priority="63" operator="equal">
      <formula>"Catastrófico"</formula>
    </cfRule>
    <cfRule type="cellIs" dxfId="69" priority="64" operator="equal">
      <formula>"Mayor"</formula>
    </cfRule>
    <cfRule type="cellIs" dxfId="68" priority="65" operator="equal">
      <formula>"Moderado"</formula>
    </cfRule>
    <cfRule type="cellIs" dxfId="67" priority="66" operator="equal">
      <formula>"Menor"</formula>
    </cfRule>
    <cfRule type="cellIs" dxfId="66" priority="67" operator="equal">
      <formula>"Leve"</formula>
    </cfRule>
  </conditionalFormatting>
  <conditionalFormatting sqref="AF100:AF102">
    <cfRule type="cellIs" dxfId="65" priority="59" operator="equal">
      <formula>"Extremo"</formula>
    </cfRule>
    <cfRule type="cellIs" dxfId="64" priority="60" operator="equal">
      <formula>"Alto"</formula>
    </cfRule>
    <cfRule type="cellIs" dxfId="63" priority="61" operator="equal">
      <formula>"Moderado"</formula>
    </cfRule>
    <cfRule type="cellIs" dxfId="62" priority="62" operator="equal">
      <formula>"Bajo"</formula>
    </cfRule>
  </conditionalFormatting>
  <conditionalFormatting sqref="N100">
    <cfRule type="containsText" dxfId="61" priority="58" operator="containsText" text="❌">
      <formula>NOT(ISERROR(SEARCH("❌",N100)))</formula>
    </cfRule>
  </conditionalFormatting>
  <conditionalFormatting sqref="AB70">
    <cfRule type="cellIs" dxfId="60" priority="53" operator="equal">
      <formula>"Muy Alta"</formula>
    </cfRule>
    <cfRule type="cellIs" dxfId="59" priority="54" operator="equal">
      <formula>"Alta"</formula>
    </cfRule>
    <cfRule type="cellIs" dxfId="58" priority="55" operator="equal">
      <formula>"Media"</formula>
    </cfRule>
    <cfRule type="cellIs" dxfId="57" priority="56" operator="equal">
      <formula>"Baja"</formula>
    </cfRule>
    <cfRule type="cellIs" dxfId="56" priority="57" operator="equal">
      <formula>"Muy Baja"</formula>
    </cfRule>
  </conditionalFormatting>
  <conditionalFormatting sqref="AD70">
    <cfRule type="cellIs" dxfId="55" priority="48" operator="equal">
      <formula>"Catastrófico"</formula>
    </cfRule>
    <cfRule type="cellIs" dxfId="54" priority="49" operator="equal">
      <formula>"Mayor"</formula>
    </cfRule>
    <cfRule type="cellIs" dxfId="53" priority="50" operator="equal">
      <formula>"Moderado"</formula>
    </cfRule>
    <cfRule type="cellIs" dxfId="52" priority="51" operator="equal">
      <formula>"Menor"</formula>
    </cfRule>
    <cfRule type="cellIs" dxfId="51" priority="52" operator="equal">
      <formula>"Leve"</formula>
    </cfRule>
  </conditionalFormatting>
  <conditionalFormatting sqref="AF70">
    <cfRule type="cellIs" dxfId="50" priority="44" operator="equal">
      <formula>"Extremo"</formula>
    </cfRule>
    <cfRule type="cellIs" dxfId="49" priority="45" operator="equal">
      <formula>"Alto"</formula>
    </cfRule>
    <cfRule type="cellIs" dxfId="48" priority="46" operator="equal">
      <formula>"Moderado"</formula>
    </cfRule>
    <cfRule type="cellIs" dxfId="47" priority="47" operator="equal">
      <formula>"Bajo"</formula>
    </cfRule>
  </conditionalFormatting>
  <conditionalFormatting sqref="AB71">
    <cfRule type="cellIs" dxfId="46" priority="39" operator="equal">
      <formula>"Muy Alta"</formula>
    </cfRule>
    <cfRule type="cellIs" dxfId="45" priority="40" operator="equal">
      <formula>"Alta"</formula>
    </cfRule>
    <cfRule type="cellIs" dxfId="44" priority="41" operator="equal">
      <formula>"Media"</formula>
    </cfRule>
    <cfRule type="cellIs" dxfId="43" priority="42" operator="equal">
      <formula>"Baja"</formula>
    </cfRule>
    <cfRule type="cellIs" dxfId="42" priority="43" operator="equal">
      <formula>"Muy Baja"</formula>
    </cfRule>
  </conditionalFormatting>
  <conditionalFormatting sqref="AD71">
    <cfRule type="cellIs" dxfId="41" priority="34" operator="equal">
      <formula>"Catastrófico"</formula>
    </cfRule>
    <cfRule type="cellIs" dxfId="40" priority="35" operator="equal">
      <formula>"Mayor"</formula>
    </cfRule>
    <cfRule type="cellIs" dxfId="39" priority="36" operator="equal">
      <formula>"Moderado"</formula>
    </cfRule>
    <cfRule type="cellIs" dxfId="38" priority="37" operator="equal">
      <formula>"Menor"</formula>
    </cfRule>
    <cfRule type="cellIs" dxfId="37" priority="38" operator="equal">
      <formula>"Leve"</formula>
    </cfRule>
  </conditionalFormatting>
  <conditionalFormatting sqref="AF71">
    <cfRule type="cellIs" dxfId="36" priority="30" operator="equal">
      <formula>"Extremo"</formula>
    </cfRule>
    <cfRule type="cellIs" dxfId="35" priority="31" operator="equal">
      <formula>"Alto"</formula>
    </cfRule>
    <cfRule type="cellIs" dxfId="34" priority="32" operator="equal">
      <formula>"Moderado"</formula>
    </cfRule>
    <cfRule type="cellIs" dxfId="33" priority="33" operator="equal">
      <formula>"Bajo"</formula>
    </cfRule>
  </conditionalFormatting>
  <conditionalFormatting sqref="AB72">
    <cfRule type="cellIs" dxfId="32" priority="25" operator="equal">
      <formula>"Muy Alta"</formula>
    </cfRule>
    <cfRule type="cellIs" dxfId="31" priority="26" operator="equal">
      <formula>"Alta"</formula>
    </cfRule>
    <cfRule type="cellIs" dxfId="30" priority="27" operator="equal">
      <formula>"Media"</formula>
    </cfRule>
    <cfRule type="cellIs" dxfId="29" priority="28" operator="equal">
      <formula>"Baja"</formula>
    </cfRule>
    <cfRule type="cellIs" dxfId="28" priority="29" operator="equal">
      <formula>"Muy Baja"</formula>
    </cfRule>
  </conditionalFormatting>
  <conditionalFormatting sqref="AD72">
    <cfRule type="cellIs" dxfId="27" priority="20" operator="equal">
      <formula>"Catastrófico"</formula>
    </cfRule>
    <cfRule type="cellIs" dxfId="26" priority="21" operator="equal">
      <formula>"Mayor"</formula>
    </cfRule>
    <cfRule type="cellIs" dxfId="25" priority="22" operator="equal">
      <formula>"Moderado"</formula>
    </cfRule>
    <cfRule type="cellIs" dxfId="24" priority="23" operator="equal">
      <formula>"Menor"</formula>
    </cfRule>
    <cfRule type="cellIs" dxfId="23" priority="24" operator="equal">
      <formula>"Leve"</formula>
    </cfRule>
  </conditionalFormatting>
  <conditionalFormatting sqref="AF72">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K70">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O70">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Q70">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N70:N72">
    <cfRule type="containsText" dxfId="4" priority="1" operator="containsText" text="❌">
      <formula>NOT(ISERROR(SEARCH("❌",N70)))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14:formula1>
            <xm:f>'Opciones Tratamiento'!$B$9:$B$10</xm:f>
          </x14:formula1>
          <xm:sqref>AM7:AM12 AM130:AM153 AM16:AM122</xm:sqref>
        </x14:dataValidation>
        <x14:dataValidation type="list" allowBlank="1" showInputMessage="1" showErrorMessage="1">
          <x14:formula1>
            <xm:f>'Opciones Tratamiento'!$B$13:$B$19</xm:f>
          </x14:formula1>
          <xm:sqref>I7 I10 I13 I103 I16 I19 I22 I25 I28 I31 I34 I37 I40 I43 I46 I49 I52 I55 I106 I58 I61 I64 I67 I73 I76 I79 I82 I88 I91 I94 I97:I98 I139 I124 I109 I112 I115 I118 I121 I127 I130 I133 I136 I142 I145 I148 I151 I85 I70</xm:sqref>
        </x14:dataValidation>
        <x14:dataValidation type="list" allowBlank="1" showInputMessage="1" showErrorMessage="1">
          <x14:formula1>
            <xm:f>'Opciones Tratamiento'!$E$2:$E$4</xm:f>
          </x14:formula1>
          <xm:sqref>E7 E10 E13 E103 E16 E19 E22 E25 E28 E31 E34 E37 E40 E43 E46 E49 E52 E55 E106 E58 E61 E64 E67 E73 E76 E79 E82 E88 E91 E94 E97:E98 E139 E124 E109 E112 E115 E118 E121 E127 E130 E133 E136 E142 E145 E148 E151 E85 E70</xm:sqref>
        </x14:dataValidation>
        <x14:dataValidation type="list" allowBlank="1" showInputMessage="1" showErrorMessage="1">
          <x14:formula1>
            <xm:f>'Tabla Impacto'!$F$210:$F$221</xm:f>
          </x14:formula1>
          <xm:sqref>M7 M10 M13 M148 M16 M19 M22 M25 M28 M31 M34 M37 M40 M43 M46 M49 M52 M55 M151 M58 M61 M64 M67 M73 M142 M145 M76 M79 M82 M85 M88 M91 M94 M97:M98 M139 M103 M106 M109 M112 M115 M118 M121 M124 M127 M130 M133 M136 M70</xm:sqref>
        </x14:dataValidation>
        <x14:dataValidation type="list" allowBlank="1" showInputMessage="1" showErrorMessage="1">
          <x14:formula1>
            <xm:f>'Tabla Valoración controles'!$D$4:$D$6</xm:f>
          </x14:formula1>
          <xm:sqref>U103:U153 U7:U98</xm:sqref>
        </x14:dataValidation>
        <x14:dataValidation type="list" allowBlank="1" showInputMessage="1" showErrorMessage="1">
          <x14:formula1>
            <xm:f>'Tabla Valoración controles'!$D$7:$D$8</xm:f>
          </x14:formula1>
          <xm:sqref>V103:V153 V7:V98</xm:sqref>
        </x14:dataValidation>
        <x14:dataValidation type="list" allowBlank="1" showInputMessage="1" showErrorMessage="1">
          <x14:formula1>
            <xm:f>'Tabla Valoración controles'!$D$9:$D$10</xm:f>
          </x14:formula1>
          <xm:sqref>X103:X153 X7:X98</xm:sqref>
        </x14:dataValidation>
        <x14:dataValidation type="list" allowBlank="1" showInputMessage="1" showErrorMessage="1">
          <x14:formula1>
            <xm:f>'Tabla Valoración controles'!$D$11:$D$12</xm:f>
          </x14:formula1>
          <xm:sqref>Y103:Y153 Y7:Y98</xm:sqref>
        </x14:dataValidation>
        <x14:dataValidation type="list" allowBlank="1" showInputMessage="1" showErrorMessage="1">
          <x14:formula1>
            <xm:f>'Tabla Valoración controles'!$D$13:$D$14</xm:f>
          </x14:formula1>
          <xm:sqref>Z103:Z153 Z7:Z98</xm:sqref>
        </x14:dataValidation>
        <x14:dataValidation type="list" allowBlank="1" showInputMessage="1" showErrorMessage="1">
          <x14:formula1>
            <xm:f>'Opciones Tratamiento'!$B$2:$B$5</xm:f>
          </x14:formula1>
          <xm:sqref>AG103:AG153 AG7:AG98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204"/>
  <sheetViews>
    <sheetView topLeftCell="E1" zoomScale="40" zoomScaleNormal="40" workbookViewId="0">
      <selection activeCell="AJ64" sqref="AJ64:AK65"/>
    </sheetView>
  </sheetViews>
  <sheetFormatPr baseColWidth="10" defaultRowHeight="14.5" x14ac:dyDescent="0.35"/>
  <cols>
    <col min="2" max="9" width="5.7265625" customWidth="1"/>
    <col min="10" max="59" width="8.7265625" customWidth="1"/>
    <col min="61" max="65" width="5.7265625" customWidth="1"/>
    <col min="66" max="66" width="20.7265625" customWidth="1"/>
  </cols>
  <sheetData>
    <row r="1" spans="1:119" x14ac:dyDescent="0.35">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row>
    <row r="2" spans="1:119" ht="18" customHeight="1" x14ac:dyDescent="0.35">
      <c r="A2" s="56"/>
      <c r="B2" s="538" t="s">
        <v>135</v>
      </c>
      <c r="C2" s="538"/>
      <c r="D2" s="538"/>
      <c r="E2" s="538"/>
      <c r="F2" s="538"/>
      <c r="G2" s="538"/>
      <c r="H2" s="538"/>
      <c r="I2" s="538"/>
      <c r="J2" s="299" t="s">
        <v>2</v>
      </c>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299"/>
      <c r="AY2" s="299"/>
      <c r="AZ2" s="299"/>
      <c r="BA2" s="299"/>
      <c r="BB2" s="299"/>
      <c r="BC2" s="299"/>
      <c r="BD2" s="299"/>
      <c r="BE2" s="299"/>
      <c r="BF2" s="299"/>
      <c r="BG2" s="299"/>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row>
    <row r="3" spans="1:119" ht="18.75" customHeight="1" x14ac:dyDescent="0.35">
      <c r="A3" s="56"/>
      <c r="B3" s="538"/>
      <c r="C3" s="538"/>
      <c r="D3" s="538"/>
      <c r="E3" s="538"/>
      <c r="F3" s="538"/>
      <c r="G3" s="538"/>
      <c r="H3" s="538"/>
      <c r="I3" s="538"/>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c r="AT3" s="299"/>
      <c r="AU3" s="299"/>
      <c r="AV3" s="299"/>
      <c r="AW3" s="299"/>
      <c r="AX3" s="299"/>
      <c r="AY3" s="299"/>
      <c r="AZ3" s="299"/>
      <c r="BA3" s="299"/>
      <c r="BB3" s="299"/>
      <c r="BC3" s="299"/>
      <c r="BD3" s="299"/>
      <c r="BE3" s="299"/>
      <c r="BF3" s="299"/>
      <c r="BG3" s="299"/>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row>
    <row r="4" spans="1:119" ht="15" customHeight="1" x14ac:dyDescent="0.35">
      <c r="A4" s="56"/>
      <c r="B4" s="538"/>
      <c r="C4" s="538"/>
      <c r="D4" s="538"/>
      <c r="E4" s="538"/>
      <c r="F4" s="538"/>
      <c r="G4" s="538"/>
      <c r="H4" s="538"/>
      <c r="I4" s="538"/>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c r="AR4" s="299"/>
      <c r="AS4" s="299"/>
      <c r="AT4" s="299"/>
      <c r="AU4" s="299"/>
      <c r="AV4" s="299"/>
      <c r="AW4" s="299"/>
      <c r="AX4" s="299"/>
      <c r="AY4" s="299"/>
      <c r="AZ4" s="299"/>
      <c r="BA4" s="299"/>
      <c r="BB4" s="299"/>
      <c r="BC4" s="299"/>
      <c r="BD4" s="299"/>
      <c r="BE4" s="299"/>
      <c r="BF4" s="299"/>
      <c r="BG4" s="299"/>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c r="CK4" s="56"/>
      <c r="CL4" s="56"/>
      <c r="CM4" s="56"/>
      <c r="CN4" s="56"/>
      <c r="CO4" s="56"/>
      <c r="CP4" s="56"/>
      <c r="CQ4" s="56"/>
      <c r="CR4" s="56"/>
      <c r="CS4" s="56"/>
      <c r="CT4" s="56"/>
      <c r="CU4" s="56"/>
      <c r="CV4" s="56"/>
      <c r="CW4" s="56"/>
      <c r="CX4" s="56"/>
      <c r="CY4" s="56"/>
      <c r="CZ4" s="56"/>
      <c r="DA4" s="56"/>
      <c r="DB4" s="56"/>
      <c r="DC4" s="56"/>
      <c r="DD4" s="56"/>
      <c r="DE4" s="56"/>
      <c r="DF4" s="56"/>
      <c r="DG4" s="56"/>
      <c r="DH4" s="56"/>
      <c r="DI4" s="56"/>
      <c r="DJ4" s="56"/>
      <c r="DK4" s="56"/>
      <c r="DL4" s="56"/>
      <c r="DM4" s="56"/>
      <c r="DN4" s="56"/>
      <c r="DO4" s="56"/>
    </row>
    <row r="5" spans="1:119" ht="15" thickBot="1" x14ac:dyDescent="0.4">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c r="CU5" s="56"/>
      <c r="CV5" s="56"/>
      <c r="CW5" s="56"/>
      <c r="CX5" s="56"/>
      <c r="CY5" s="56"/>
      <c r="CZ5" s="56"/>
      <c r="DA5" s="56"/>
      <c r="DB5" s="56"/>
      <c r="DC5" s="56"/>
      <c r="DD5" s="56"/>
      <c r="DE5" s="56"/>
      <c r="DF5" s="56"/>
      <c r="DG5" s="56"/>
      <c r="DH5" s="56"/>
      <c r="DI5" s="56"/>
      <c r="DJ5" s="56"/>
      <c r="DK5" s="56"/>
      <c r="DL5" s="56"/>
      <c r="DM5" s="56"/>
      <c r="DN5" s="56"/>
      <c r="DO5" s="56"/>
    </row>
    <row r="6" spans="1:119" ht="15" customHeight="1" x14ac:dyDescent="0.35">
      <c r="A6" s="56"/>
      <c r="B6" s="300" t="s">
        <v>4</v>
      </c>
      <c r="C6" s="300"/>
      <c r="D6" s="301"/>
      <c r="E6" s="522" t="s">
        <v>107</v>
      </c>
      <c r="F6" s="523"/>
      <c r="G6" s="523"/>
      <c r="H6" s="523"/>
      <c r="I6" s="529"/>
      <c r="J6" s="539" t="str">
        <f>IF(AND('Mapa final'!$K$7="Muy Alta",'Mapa final'!$O$7="Leve"),CONCATENATE("R",'Mapa final'!$A$7),"")</f>
        <v/>
      </c>
      <c r="K6" s="533"/>
      <c r="L6" s="533" t="str">
        <f>IF(AND('Mapa final'!$K$10="Muy Alta",'Mapa final'!$O$10="Leve"),CONCATENATE("R",'Mapa final'!$A$10),"")</f>
        <v/>
      </c>
      <c r="M6" s="533"/>
      <c r="N6" s="533" t="str">
        <f>IF(AND('Mapa final'!$K$13="Muy Alta",'Mapa final'!$O$13="Leve"),CONCATENATE("R",'Mapa final'!$A$13),"")</f>
        <v/>
      </c>
      <c r="O6" s="533"/>
      <c r="P6" s="533" t="e">
        <f>IF(AND('Mapa final'!#REF!="Muy Alta",'Mapa final'!#REF!="Leve"),CONCATENATE("R",'Mapa final'!#REF!),"")</f>
        <v>#REF!</v>
      </c>
      <c r="Q6" s="533"/>
      <c r="R6" s="533" t="str">
        <f>IF(AND('Mapa final'!$K$16="Muy Alta",'Mapa final'!$O$16="Leve"),CONCATENATE("R",'Mapa final'!$A$16),"")</f>
        <v/>
      </c>
      <c r="S6" s="533"/>
      <c r="T6" s="473" t="str">
        <f>IF(AND('Mapa final'!$K$7="Muy Alta",'Mapa final'!$O$7="Menor"),CONCATENATE("R",'Mapa final'!$A$7),"")</f>
        <v/>
      </c>
      <c r="U6" s="474"/>
      <c r="V6" s="474" t="str">
        <f>IF(AND('Mapa final'!$K$10="Muy Alta",'Mapa final'!$O$10="Menor"),CONCATENATE("R",'Mapa final'!$A$10),"")</f>
        <v/>
      </c>
      <c r="W6" s="474"/>
      <c r="X6" s="474" t="str">
        <f>IF(AND('Mapa final'!$K$13="Muy Alta",'Mapa final'!$O$13="Menor"),CONCATENATE("R",'Mapa final'!$A$13),"")</f>
        <v/>
      </c>
      <c r="Y6" s="474"/>
      <c r="Z6" s="474" t="e">
        <f>IF(AND('Mapa final'!#REF!="Muy Alta",'Mapa final'!#REF!="Menor"),CONCATENATE("R",'Mapa final'!#REF!),"")</f>
        <v>#REF!</v>
      </c>
      <c r="AA6" s="474"/>
      <c r="AB6" s="474" t="str">
        <f>IF(AND('Mapa final'!$K$16="Muy Alta",'Mapa final'!$O$16="Menor"),CONCATENATE("R",'Mapa final'!$A$16),"")</f>
        <v/>
      </c>
      <c r="AC6" s="475"/>
      <c r="AD6" s="473" t="str">
        <f>IF(AND('Mapa final'!$K$7="Muy Alta",'Mapa final'!$O$7="Moderado"),CONCATENATE("R",'Mapa final'!$A$7),"")</f>
        <v/>
      </c>
      <c r="AE6" s="474"/>
      <c r="AF6" s="474" t="str">
        <f>IF(AND('Mapa final'!$K$10="Muy Alta",'Mapa final'!$O$10="Moderado"),CONCATENATE("R",'Mapa final'!$A$10),"")</f>
        <v/>
      </c>
      <c r="AG6" s="474"/>
      <c r="AH6" s="474" t="str">
        <f>IF(AND('Mapa final'!$K$13="Muy Alta",'Mapa final'!$O$13="Moderado"),CONCATENATE("R",'Mapa final'!$A$13),"")</f>
        <v/>
      </c>
      <c r="AI6" s="474"/>
      <c r="AJ6" s="474" t="e">
        <f>IF(AND('Mapa final'!#REF!="Muy Alta",'Mapa final'!#REF!="Moderado"),CONCATENATE("R",'Mapa final'!#REF!),"")</f>
        <v>#REF!</v>
      </c>
      <c r="AK6" s="474"/>
      <c r="AL6" s="474" t="str">
        <f>IF(AND('Mapa final'!$K$16="Muy Alta",'Mapa final'!$O$16="Moderado"),CONCATENATE("R",'Mapa final'!$A$16),"")</f>
        <v/>
      </c>
      <c r="AM6" s="475"/>
      <c r="AN6" s="473" t="str">
        <f>IF(AND('Mapa final'!$K$7="Muy Alta",'Mapa final'!$O$7="Mayor"),CONCATENATE("R",'Mapa final'!$A$7),"")</f>
        <v/>
      </c>
      <c r="AO6" s="474"/>
      <c r="AP6" s="474" t="str">
        <f>IF(AND('Mapa final'!$K$10="Muy Alta",'Mapa final'!$O$10="Mayor"),CONCATENATE("R",'Mapa final'!$A$10),"")</f>
        <v/>
      </c>
      <c r="AQ6" s="474"/>
      <c r="AR6" s="474" t="str">
        <f>IF(AND('Mapa final'!$K$13="Muy Alta",'Mapa final'!$O$13="Mayor"),CONCATENATE("R",'Mapa final'!$A$13),"")</f>
        <v/>
      </c>
      <c r="AS6" s="474"/>
      <c r="AT6" s="474" t="e">
        <f>IF(AND('Mapa final'!#REF!="Muy Alta",'Mapa final'!#REF!="Mayor"),CONCATENATE("R",'Mapa final'!#REF!),"")</f>
        <v>#REF!</v>
      </c>
      <c r="AU6" s="474"/>
      <c r="AV6" s="474" t="str">
        <f>IF(AND('Mapa final'!$K$16="Muy Alta",'Mapa final'!$O$16="Mayor"),CONCATENATE("R",'Mapa final'!$A$16),"")</f>
        <v/>
      </c>
      <c r="AW6" s="475"/>
      <c r="AX6" s="480" t="str">
        <f>IF(AND('Mapa final'!$K$7="Muy Alta",'Mapa final'!$O$7="Catastrófico"),CONCATENATE("R",'Mapa final'!$A$7),"")</f>
        <v/>
      </c>
      <c r="AY6" s="479"/>
      <c r="AZ6" s="479" t="str">
        <f>IF(AND('Mapa final'!$K$10="Muy Alta",'Mapa final'!$O$10="Catastrófico"),CONCATENATE("R",'Mapa final'!$A$10),"")</f>
        <v/>
      </c>
      <c r="BA6" s="479"/>
      <c r="BB6" s="479" t="str">
        <f>IF(AND('Mapa final'!$K$13="Muy Alta",'Mapa final'!$O$13="Catastrófico"),CONCATENATE("R",'Mapa final'!$A$13),"")</f>
        <v/>
      </c>
      <c r="BC6" s="479"/>
      <c r="BD6" s="479" t="e">
        <f>IF(AND('Mapa final'!#REF!="Muy Alta",'Mapa final'!#REF!="Catastrófico"),CONCATENATE("R",'Mapa final'!#REF!),"")</f>
        <v>#REF!</v>
      </c>
      <c r="BE6" s="479"/>
      <c r="BF6" s="479" t="str">
        <f>IF(AND('Mapa final'!$K$16="Muy Alta",'Mapa final'!$O$16="Catastrófico"),CONCATENATE("R",'Mapa final'!$A$16),"")</f>
        <v/>
      </c>
      <c r="BG6" s="53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row>
    <row r="7" spans="1:119" ht="15" customHeight="1" x14ac:dyDescent="0.35">
      <c r="A7" s="56"/>
      <c r="B7" s="300"/>
      <c r="C7" s="300"/>
      <c r="D7" s="301"/>
      <c r="E7" s="524"/>
      <c r="F7" s="525"/>
      <c r="G7" s="525"/>
      <c r="H7" s="525"/>
      <c r="I7" s="530"/>
      <c r="J7" s="535"/>
      <c r="K7" s="461"/>
      <c r="L7" s="461"/>
      <c r="M7" s="461"/>
      <c r="N7" s="461"/>
      <c r="O7" s="461"/>
      <c r="P7" s="461"/>
      <c r="Q7" s="461"/>
      <c r="R7" s="461"/>
      <c r="S7" s="461"/>
      <c r="T7" s="463"/>
      <c r="U7" s="461"/>
      <c r="V7" s="461"/>
      <c r="W7" s="461"/>
      <c r="X7" s="461"/>
      <c r="Y7" s="461"/>
      <c r="Z7" s="461"/>
      <c r="AA7" s="461"/>
      <c r="AB7" s="461"/>
      <c r="AC7" s="462"/>
      <c r="AD7" s="463"/>
      <c r="AE7" s="461"/>
      <c r="AF7" s="461"/>
      <c r="AG7" s="461"/>
      <c r="AH7" s="461"/>
      <c r="AI7" s="461"/>
      <c r="AJ7" s="461"/>
      <c r="AK7" s="461"/>
      <c r="AL7" s="461"/>
      <c r="AM7" s="462"/>
      <c r="AN7" s="463"/>
      <c r="AO7" s="461"/>
      <c r="AP7" s="461"/>
      <c r="AQ7" s="461"/>
      <c r="AR7" s="461"/>
      <c r="AS7" s="461"/>
      <c r="AT7" s="461"/>
      <c r="AU7" s="461"/>
      <c r="AV7" s="461"/>
      <c r="AW7" s="462"/>
      <c r="AX7" s="457"/>
      <c r="AY7" s="455"/>
      <c r="AZ7" s="455"/>
      <c r="BA7" s="455"/>
      <c r="BB7" s="455"/>
      <c r="BC7" s="455"/>
      <c r="BD7" s="455"/>
      <c r="BE7" s="455"/>
      <c r="BF7" s="455"/>
      <c r="BG7" s="4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row>
    <row r="8" spans="1:119" ht="15" customHeight="1" x14ac:dyDescent="0.35">
      <c r="A8" s="56"/>
      <c r="B8" s="300"/>
      <c r="C8" s="300"/>
      <c r="D8" s="301"/>
      <c r="E8" s="524"/>
      <c r="F8" s="525"/>
      <c r="G8" s="525"/>
      <c r="H8" s="525"/>
      <c r="I8" s="530"/>
      <c r="J8" s="535" t="str">
        <f>IF(AND('Mapa final'!$K$19="Muy Alta",'Mapa final'!$O$19="Leve"),CONCATENATE("R",'Mapa final'!$A$19),"")</f>
        <v/>
      </c>
      <c r="K8" s="461"/>
      <c r="L8" s="461" t="str">
        <f>IF(AND('Mapa final'!$K$22="Muy Alta",'Mapa final'!$O$22="Leve"),CONCATENATE("R",'Mapa final'!$A$22),"")</f>
        <v/>
      </c>
      <c r="M8" s="461"/>
      <c r="N8" s="461" t="str">
        <f>IF(AND('Mapa final'!$K$25="Muy Alta",'Mapa final'!$O$25="Leve"),CONCATENATE("R",'Mapa final'!$A$25),"")</f>
        <v/>
      </c>
      <c r="O8" s="461"/>
      <c r="P8" s="461" t="str">
        <f>IF(AND('Mapa final'!$K$28="Muy Alta",'Mapa final'!$O$28="Leve"),CONCATENATE("R",'Mapa final'!$A$28),"")</f>
        <v/>
      </c>
      <c r="Q8" s="461"/>
      <c r="R8" s="461" t="str">
        <f>IF(AND('Mapa final'!$K$31="Muy Alta",'Mapa final'!$O$31="Leve"),CONCATENATE("R",'Mapa final'!$A$31),"")</f>
        <v/>
      </c>
      <c r="S8" s="461"/>
      <c r="T8" s="463" t="str">
        <f>IF(AND('Mapa final'!$K$19="Muy Alta",'Mapa final'!$O$19="Menor"),CONCATENATE("R",'Mapa final'!$A$19),"")</f>
        <v/>
      </c>
      <c r="U8" s="461"/>
      <c r="V8" s="461" t="str">
        <f>IF(AND('Mapa final'!$K$22="Muy Alta",'Mapa final'!$O$22="Menor"),CONCATENATE("R",'Mapa final'!$A$22),"")</f>
        <v/>
      </c>
      <c r="W8" s="461"/>
      <c r="X8" s="461" t="str">
        <f>IF(AND('Mapa final'!$K$25="Muy Alta",'Mapa final'!$O$25="Menor"),CONCATENATE("R",'Mapa final'!$A$25),"")</f>
        <v/>
      </c>
      <c r="Y8" s="461"/>
      <c r="Z8" s="461" t="str">
        <f>IF(AND('Mapa final'!$K$28="Muy Alta",'Mapa final'!$O$28="Menor"),CONCATENATE("R",'Mapa final'!$A$28),"")</f>
        <v/>
      </c>
      <c r="AA8" s="461"/>
      <c r="AB8" s="461" t="str">
        <f>IF(AND('Mapa final'!$K$31="Muy Alta",'Mapa final'!$O$31="Menor"),CONCATENATE("R",'Mapa final'!$A$31),"")</f>
        <v/>
      </c>
      <c r="AC8" s="462"/>
      <c r="AD8" s="463" t="str">
        <f>IF(AND('Mapa final'!$K$19="Muy Alta",'Mapa final'!$O$19="Moderado"),CONCATENATE("R",'Mapa final'!$A$19),"")</f>
        <v/>
      </c>
      <c r="AE8" s="461"/>
      <c r="AF8" s="461" t="str">
        <f>IF(AND('Mapa final'!$K$22="Muy Alta",'Mapa final'!$O$22="Moderado"),CONCATENATE("R",'Mapa final'!$A$22),"")</f>
        <v/>
      </c>
      <c r="AG8" s="461"/>
      <c r="AH8" s="461" t="str">
        <f>IF(AND('Mapa final'!$K$25="Muy Alta",'Mapa final'!$O$25="Moderado"),CONCATENATE("R",'Mapa final'!$A$25),"")</f>
        <v/>
      </c>
      <c r="AI8" s="461"/>
      <c r="AJ8" s="461" t="str">
        <f>IF(AND('Mapa final'!$K$28="Muy Alta",'Mapa final'!$O$28="Moderado"),CONCATENATE("R",'Mapa final'!$A$28),"")</f>
        <v/>
      </c>
      <c r="AK8" s="461"/>
      <c r="AL8" s="461" t="str">
        <f>IF(AND('Mapa final'!$K$31="Muy Alta",'Mapa final'!$O$31="Moderado"),CONCATENATE("R",'Mapa final'!$A$31),"")</f>
        <v/>
      </c>
      <c r="AM8" s="462"/>
      <c r="AN8" s="463" t="str">
        <f>IF(AND('Mapa final'!$K$19="Muy Alta",'Mapa final'!$O$19="Mayor"),CONCATENATE("R",'Mapa final'!$A$19),"")</f>
        <v/>
      </c>
      <c r="AO8" s="461"/>
      <c r="AP8" s="461" t="str">
        <f>IF(AND('Mapa final'!$K$22="Muy Alta",'Mapa final'!$O$22="Mayor"),CONCATENATE("R",'Mapa final'!$A$22),"")</f>
        <v/>
      </c>
      <c r="AQ8" s="461"/>
      <c r="AR8" s="461" t="str">
        <f>IF(AND('Mapa final'!$K$25="Muy Alta",'Mapa final'!$O$25="Mayor"),CONCATENATE("R",'Mapa final'!$A$25),"")</f>
        <v/>
      </c>
      <c r="AS8" s="461"/>
      <c r="AT8" s="461" t="str">
        <f>IF(AND('Mapa final'!$K$28="Muy Alta",'Mapa final'!$O$28="Mayor"),CONCATENATE("R",'Mapa final'!$A$28),"")</f>
        <v/>
      </c>
      <c r="AU8" s="461"/>
      <c r="AV8" s="461" t="str">
        <f>IF(AND('Mapa final'!$K$31="Muy Alta",'Mapa final'!$O$31="Mayor"),CONCATENATE("R",'Mapa final'!$A$31),"")</f>
        <v/>
      </c>
      <c r="AW8" s="462"/>
      <c r="AX8" s="457" t="str">
        <f>IF(AND('Mapa final'!$K$19="Muy Alta",'Mapa final'!$O$19="Catastrófico"),CONCATENATE("R",'Mapa final'!$A$19),"")</f>
        <v/>
      </c>
      <c r="AY8" s="455"/>
      <c r="AZ8" s="455" t="str">
        <f>IF(AND('Mapa final'!$K$22="Muy Alta",'Mapa final'!$O$22="Catastrófico"),CONCATENATE("R",'Mapa final'!$A$22),"")</f>
        <v/>
      </c>
      <c r="BA8" s="455"/>
      <c r="BB8" s="455" t="str">
        <f>IF(AND('Mapa final'!$K$25="Muy Alta",'Mapa final'!$O$25="Catastrófico"),CONCATENATE("R",'Mapa final'!$A$25),"")</f>
        <v/>
      </c>
      <c r="BC8" s="455"/>
      <c r="BD8" s="455" t="str">
        <f>IF(AND('Mapa final'!$K$28="Muy Alta",'Mapa final'!$O$28="Catastrófico"),CONCATENATE("R",'Mapa final'!$A$28),"")</f>
        <v/>
      </c>
      <c r="BE8" s="455"/>
      <c r="BF8" s="455" t="str">
        <f>IF(AND('Mapa final'!$K$31="Muy Alta",'Mapa final'!$O$31="Catastrófico"),CONCATENATE("R",'Mapa final'!$A$31),"")</f>
        <v/>
      </c>
      <c r="BG8" s="4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row>
    <row r="9" spans="1:119" ht="15" customHeight="1" x14ac:dyDescent="0.35">
      <c r="A9" s="56"/>
      <c r="B9" s="300"/>
      <c r="C9" s="300"/>
      <c r="D9" s="301"/>
      <c r="E9" s="524"/>
      <c r="F9" s="525"/>
      <c r="G9" s="525"/>
      <c r="H9" s="525"/>
      <c r="I9" s="530"/>
      <c r="J9" s="535"/>
      <c r="K9" s="461"/>
      <c r="L9" s="461"/>
      <c r="M9" s="461"/>
      <c r="N9" s="461"/>
      <c r="O9" s="461"/>
      <c r="P9" s="461"/>
      <c r="Q9" s="461"/>
      <c r="R9" s="461"/>
      <c r="S9" s="461"/>
      <c r="T9" s="463"/>
      <c r="U9" s="461"/>
      <c r="V9" s="461"/>
      <c r="W9" s="461"/>
      <c r="X9" s="461"/>
      <c r="Y9" s="461"/>
      <c r="Z9" s="461"/>
      <c r="AA9" s="461"/>
      <c r="AB9" s="461"/>
      <c r="AC9" s="462"/>
      <c r="AD9" s="463"/>
      <c r="AE9" s="461"/>
      <c r="AF9" s="461"/>
      <c r="AG9" s="461"/>
      <c r="AH9" s="461"/>
      <c r="AI9" s="461"/>
      <c r="AJ9" s="461"/>
      <c r="AK9" s="461"/>
      <c r="AL9" s="461"/>
      <c r="AM9" s="462"/>
      <c r="AN9" s="463"/>
      <c r="AO9" s="461"/>
      <c r="AP9" s="461"/>
      <c r="AQ9" s="461"/>
      <c r="AR9" s="461"/>
      <c r="AS9" s="461"/>
      <c r="AT9" s="461"/>
      <c r="AU9" s="461"/>
      <c r="AV9" s="461"/>
      <c r="AW9" s="462"/>
      <c r="AX9" s="457"/>
      <c r="AY9" s="455"/>
      <c r="AZ9" s="455"/>
      <c r="BA9" s="455"/>
      <c r="BB9" s="455"/>
      <c r="BC9" s="455"/>
      <c r="BD9" s="455"/>
      <c r="BE9" s="455"/>
      <c r="BF9" s="455"/>
      <c r="BG9" s="4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row>
    <row r="10" spans="1:119" ht="15" customHeight="1" x14ac:dyDescent="0.35">
      <c r="A10" s="56"/>
      <c r="B10" s="300"/>
      <c r="C10" s="300"/>
      <c r="D10" s="301"/>
      <c r="E10" s="524"/>
      <c r="F10" s="525"/>
      <c r="G10" s="525"/>
      <c r="H10" s="525"/>
      <c r="I10" s="530"/>
      <c r="J10" s="535" t="str">
        <f>IF(AND('Mapa final'!$K$34="Muy Alta",'Mapa final'!$O$34="Leve"),CONCATENATE("R",'Mapa final'!$A$34),"")</f>
        <v/>
      </c>
      <c r="K10" s="461"/>
      <c r="L10" s="461" t="str">
        <f>IF(AND('Mapa final'!$K$37="Muy Alta",'Mapa final'!$O$37="Leve"),CONCATENATE("R",'Mapa final'!$A$37),"")</f>
        <v/>
      </c>
      <c r="M10" s="461"/>
      <c r="N10" s="461" t="str">
        <f>IF(AND('Mapa final'!$K$40="Muy Alta",'Mapa final'!$O$40="Leve"),CONCATENATE("R",'Mapa final'!$A$40),"")</f>
        <v/>
      </c>
      <c r="O10" s="461"/>
      <c r="P10" s="461" t="str">
        <f>IF(AND('Mapa final'!$K$43="Muy Alta",'Mapa final'!$O$43="Leve"),CONCATENATE("R",'Mapa final'!$A$43),"")</f>
        <v/>
      </c>
      <c r="Q10" s="461"/>
      <c r="R10" s="461" t="str">
        <f>IF(AND('Mapa final'!$K$46="Muy Alta",'Mapa final'!$O$46="Leve"),CONCATENATE("R",'Mapa final'!$A$46),"")</f>
        <v/>
      </c>
      <c r="S10" s="461"/>
      <c r="T10" s="463" t="str">
        <f>IF(AND('Mapa final'!$K$34="Muy Alta",'Mapa final'!$O$34="Menor"),CONCATENATE("R",'Mapa final'!$A$34),"")</f>
        <v/>
      </c>
      <c r="U10" s="461"/>
      <c r="V10" s="461" t="str">
        <f>IF(AND('Mapa final'!$K$37="Muy Alta",'Mapa final'!$O$37="Menor"),CONCATENATE("R",'Mapa final'!$A$37),"")</f>
        <v/>
      </c>
      <c r="W10" s="461"/>
      <c r="X10" s="461" t="str">
        <f>IF(AND('Mapa final'!$K$40="Muy Alta",'Mapa final'!$O$40="Menor"),CONCATENATE("R",'Mapa final'!$A$40),"")</f>
        <v/>
      </c>
      <c r="Y10" s="461"/>
      <c r="Z10" s="461" t="str">
        <f>IF(AND('Mapa final'!$K$43="Muy Alta",'Mapa final'!$O$43="Menor"),CONCATENATE("R",'Mapa final'!$A$43),"")</f>
        <v/>
      </c>
      <c r="AA10" s="461"/>
      <c r="AB10" s="461" t="str">
        <f>IF(AND('Mapa final'!$K$46="Muy Alta",'Mapa final'!$O$46="Menor"),CONCATENATE("R",'Mapa final'!$A$46),"")</f>
        <v/>
      </c>
      <c r="AC10" s="462"/>
      <c r="AD10" s="463" t="str">
        <f>IF(AND('Mapa final'!$K$34="Muy Alta",'Mapa final'!$O$34="Moderado"),CONCATENATE("R",'Mapa final'!$A$34),"")</f>
        <v/>
      </c>
      <c r="AE10" s="461"/>
      <c r="AF10" s="461" t="str">
        <f>IF(AND('Mapa final'!$K$37="Muy Alta",'Mapa final'!$O$37="Moderado"),CONCATENATE("R",'Mapa final'!$A$37),"")</f>
        <v/>
      </c>
      <c r="AG10" s="461"/>
      <c r="AH10" s="461" t="str">
        <f>IF(AND('Mapa final'!$K$40="Muy Alta",'Mapa final'!$O$40="Moderado"),CONCATENATE("R",'Mapa final'!$A$40),"")</f>
        <v/>
      </c>
      <c r="AI10" s="461"/>
      <c r="AJ10" s="461" t="str">
        <f>IF(AND('Mapa final'!$K$43="Muy Alta",'Mapa final'!$O$43="Moderado"),CONCATENATE("R",'Mapa final'!$A$43),"")</f>
        <v/>
      </c>
      <c r="AK10" s="461"/>
      <c r="AL10" s="461" t="str">
        <f>IF(AND('Mapa final'!$K$46="Muy Alta",'Mapa final'!$O$46="Moderado"),CONCATENATE("R",'Mapa final'!$A$46),"")</f>
        <v/>
      </c>
      <c r="AM10" s="462"/>
      <c r="AN10" s="463" t="str">
        <f>IF(AND('Mapa final'!$K$34="Muy Alta",'Mapa final'!$O$34="Mayor"),CONCATENATE("R",'Mapa final'!$A$34),"")</f>
        <v/>
      </c>
      <c r="AO10" s="461"/>
      <c r="AP10" s="461" t="str">
        <f>IF(AND('Mapa final'!$K$37="Muy Alta",'Mapa final'!$O$37="Mayor"),CONCATENATE("R",'Mapa final'!$A$37),"")</f>
        <v/>
      </c>
      <c r="AQ10" s="461"/>
      <c r="AR10" s="461" t="str">
        <f>IF(AND('Mapa final'!$K$40="Muy Alta",'Mapa final'!$O$40="Mayor"),CONCATENATE("R",'Mapa final'!$A$40),"")</f>
        <v/>
      </c>
      <c r="AS10" s="461"/>
      <c r="AT10" s="461" t="str">
        <f>IF(AND('Mapa final'!$K$43="Muy Alta",'Mapa final'!$O$43="Mayor"),CONCATENATE("R",'Mapa final'!$A$43),"")</f>
        <v/>
      </c>
      <c r="AU10" s="461"/>
      <c r="AV10" s="461" t="str">
        <f>IF(AND('Mapa final'!$K$46="Muy Alta",'Mapa final'!$O$46="Mayor"),CONCATENATE("R",'Mapa final'!$A$46),"")</f>
        <v/>
      </c>
      <c r="AW10" s="462"/>
      <c r="AX10" s="457" t="str">
        <f>IF(AND('Mapa final'!$K$34="Muy Alta",'Mapa final'!$O$34="Catastrófico"),CONCATENATE("R",'Mapa final'!$A$34),"")</f>
        <v/>
      </c>
      <c r="AY10" s="455"/>
      <c r="AZ10" s="455" t="str">
        <f>IF(AND('Mapa final'!$K$37="Muy Alta",'Mapa final'!$O$37="Catastrófico"),CONCATENATE("R",'Mapa final'!$A$37),"")</f>
        <v/>
      </c>
      <c r="BA10" s="455"/>
      <c r="BB10" s="455" t="str">
        <f>IF(AND('Mapa final'!$K$40="Muy Alta",'Mapa final'!$O$40="Catastrófico"),CONCATENATE("R",'Mapa final'!$A$40),"")</f>
        <v/>
      </c>
      <c r="BC10" s="455"/>
      <c r="BD10" s="455" t="str">
        <f>IF(AND('Mapa final'!$K$43="Muy Alta",'Mapa final'!$O$43="Catastrófico"),CONCATENATE("R",'Mapa final'!$A$43),"")</f>
        <v/>
      </c>
      <c r="BE10" s="455"/>
      <c r="BF10" s="455" t="str">
        <f>IF(AND('Mapa final'!$K$46="Muy Alta",'Mapa final'!$O$46="Catastrófico"),CONCATENATE("R",'Mapa final'!$A$46),"")</f>
        <v/>
      </c>
      <c r="BG10" s="4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row>
    <row r="11" spans="1:119" ht="15" customHeight="1" x14ac:dyDescent="0.35">
      <c r="A11" s="56"/>
      <c r="B11" s="300"/>
      <c r="C11" s="300"/>
      <c r="D11" s="301"/>
      <c r="E11" s="524"/>
      <c r="F11" s="525"/>
      <c r="G11" s="525"/>
      <c r="H11" s="525"/>
      <c r="I11" s="530"/>
      <c r="J11" s="535"/>
      <c r="K11" s="461"/>
      <c r="L11" s="461"/>
      <c r="M11" s="461"/>
      <c r="N11" s="461"/>
      <c r="O11" s="461"/>
      <c r="P11" s="461"/>
      <c r="Q11" s="461"/>
      <c r="R11" s="461"/>
      <c r="S11" s="461"/>
      <c r="T11" s="463"/>
      <c r="U11" s="461"/>
      <c r="V11" s="461"/>
      <c r="W11" s="461"/>
      <c r="X11" s="461"/>
      <c r="Y11" s="461"/>
      <c r="Z11" s="461"/>
      <c r="AA11" s="461"/>
      <c r="AB11" s="461"/>
      <c r="AC11" s="462"/>
      <c r="AD11" s="463"/>
      <c r="AE11" s="461"/>
      <c r="AF11" s="461"/>
      <c r="AG11" s="461"/>
      <c r="AH11" s="461"/>
      <c r="AI11" s="461"/>
      <c r="AJ11" s="461"/>
      <c r="AK11" s="461"/>
      <c r="AL11" s="461"/>
      <c r="AM11" s="462"/>
      <c r="AN11" s="463"/>
      <c r="AO11" s="461"/>
      <c r="AP11" s="461"/>
      <c r="AQ11" s="461"/>
      <c r="AR11" s="461"/>
      <c r="AS11" s="461"/>
      <c r="AT11" s="461"/>
      <c r="AU11" s="461"/>
      <c r="AV11" s="461"/>
      <c r="AW11" s="462"/>
      <c r="AX11" s="457"/>
      <c r="AY11" s="455"/>
      <c r="AZ11" s="455"/>
      <c r="BA11" s="455"/>
      <c r="BB11" s="455"/>
      <c r="BC11" s="455"/>
      <c r="BD11" s="455"/>
      <c r="BE11" s="455"/>
      <c r="BF11" s="455"/>
      <c r="BG11" s="4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row>
    <row r="12" spans="1:119" ht="15" customHeight="1" x14ac:dyDescent="0.35">
      <c r="A12" s="56"/>
      <c r="B12" s="300"/>
      <c r="C12" s="300"/>
      <c r="D12" s="301"/>
      <c r="E12" s="524"/>
      <c r="F12" s="525"/>
      <c r="G12" s="525"/>
      <c r="H12" s="525"/>
      <c r="I12" s="530"/>
      <c r="J12" s="461" t="str">
        <f>IF(AND('Mapa final'!$K$49="Muy Alta",'Mapa final'!$O$49="Leve"),CONCATENATE("R",'Mapa final'!$A$49),"")</f>
        <v/>
      </c>
      <c r="K12" s="461"/>
      <c r="L12" s="461" t="str">
        <f>IF(AND('Mapa final'!$K$52="Muy Alta",'Mapa final'!$O$52="Leve"),CONCATENATE("R",'Mapa final'!$A$52),"")</f>
        <v/>
      </c>
      <c r="M12" s="461"/>
      <c r="N12" s="461" t="str">
        <f>IF(AND('Mapa final'!$K$55="Muy Alta",'Mapa final'!$O$55="Leve"),CONCATENATE("R",'Mapa final'!$A$55),"")</f>
        <v/>
      </c>
      <c r="O12" s="461"/>
      <c r="P12" s="461" t="str">
        <f>IF(AND('Mapa final'!$K$58="Muy Alta",'Mapa final'!$O$58="Leve"),CONCATENATE("R",'Mapa final'!$A$58),"")</f>
        <v/>
      </c>
      <c r="Q12" s="461"/>
      <c r="R12" s="461" t="str">
        <f>IF(AND('Mapa final'!$K$61="Muy Alta",'Mapa final'!$O$61="Leve"),CONCATENATE("R",'Mapa final'!$A$61),"")</f>
        <v/>
      </c>
      <c r="S12" s="461"/>
      <c r="T12" s="463" t="str">
        <f>IF(AND('Mapa final'!$K$49="Muy Alta",'Mapa final'!$O$49="Menor"),CONCATENATE("R",'Mapa final'!$A$49),"")</f>
        <v/>
      </c>
      <c r="U12" s="461"/>
      <c r="V12" s="461" t="str">
        <f>IF(AND('Mapa final'!$K$52="Muy Alta",'Mapa final'!$O$52="Menor"),CONCATENATE("R",'Mapa final'!$A$52),"")</f>
        <v/>
      </c>
      <c r="W12" s="461"/>
      <c r="X12" s="461" t="str">
        <f>IF(AND('Mapa final'!$K$55="Muy Alta",'Mapa final'!$O$55="Menor"),CONCATENATE("R",'Mapa final'!$A$55),"")</f>
        <v/>
      </c>
      <c r="Y12" s="461"/>
      <c r="Z12" s="461" t="str">
        <f>IF(AND('Mapa final'!$K$58="Muy Alta",'Mapa final'!$O$58="Menor"),CONCATENATE("R",'Mapa final'!$A$58),"")</f>
        <v/>
      </c>
      <c r="AA12" s="461"/>
      <c r="AB12" s="461" t="str">
        <f>IF(AND('Mapa final'!$K$61="Muy Alta",'Mapa final'!$O$61="Menor"),CONCATENATE("R",'Mapa final'!$A$61),"")</f>
        <v/>
      </c>
      <c r="AC12" s="462"/>
      <c r="AD12" s="463" t="str">
        <f>IF(AND('Mapa final'!$K$49="Muy Alta",'Mapa final'!$O$49="Moderado"),CONCATENATE("R",'Mapa final'!$A$49),"")</f>
        <v/>
      </c>
      <c r="AE12" s="461"/>
      <c r="AF12" s="461" t="str">
        <f>IF(AND('Mapa final'!$K$52="Muy Alta",'Mapa final'!$O$52="Moderado"),CONCATENATE("R",'Mapa final'!$A$52),"")</f>
        <v/>
      </c>
      <c r="AG12" s="461"/>
      <c r="AH12" s="461" t="str">
        <f>IF(AND('Mapa final'!$K$55="Muy Alta",'Mapa final'!$O$55="Moderado"),CONCATENATE("R",'Mapa final'!$A$55),"")</f>
        <v/>
      </c>
      <c r="AI12" s="461"/>
      <c r="AJ12" s="461" t="str">
        <f>IF(AND('Mapa final'!$K$58="Muy Alta",'Mapa final'!$O$58="Moderado"),CONCATENATE("R",'Mapa final'!$A$58),"")</f>
        <v/>
      </c>
      <c r="AK12" s="461"/>
      <c r="AL12" s="461" t="str">
        <f>IF(AND('Mapa final'!$K$61="Muy Alta",'Mapa final'!$O$61="Moderado"),CONCATENATE("R",'Mapa final'!$A$61),"")</f>
        <v/>
      </c>
      <c r="AM12" s="462"/>
      <c r="AN12" s="463" t="str">
        <f>IF(AND('Mapa final'!$K$49="Muy Alta",'Mapa final'!$O$49="Mayor"),CONCATENATE("R",'Mapa final'!$A$49),"")</f>
        <v/>
      </c>
      <c r="AO12" s="461"/>
      <c r="AP12" s="461" t="str">
        <f>IF(AND('Mapa final'!$K$52="Muy Alta",'Mapa final'!$O$52="Mayor"),CONCATENATE("R",'Mapa final'!$A$52),"")</f>
        <v>R16</v>
      </c>
      <c r="AQ12" s="461"/>
      <c r="AR12" s="461" t="str">
        <f>IF(AND('Mapa final'!$K$55="Muy Alta",'Mapa final'!$O$55="Mayor"),CONCATENATE("R",'Mapa final'!$A$55),"")</f>
        <v/>
      </c>
      <c r="AS12" s="461"/>
      <c r="AT12" s="461" t="str">
        <f>IF(AND('Mapa final'!$K$58="Muy Alta",'Mapa final'!$O$58="Mayor"),CONCATENATE("R",'Mapa final'!$A$58),"")</f>
        <v/>
      </c>
      <c r="AU12" s="461"/>
      <c r="AV12" s="461" t="str">
        <f>IF(AND('Mapa final'!$K$61="Muy Alta",'Mapa final'!$O$61="Mayor"),CONCATENATE("R",'Mapa final'!$A$61),"")</f>
        <v/>
      </c>
      <c r="AW12" s="462"/>
      <c r="AX12" s="457" t="str">
        <f>IF(AND('Mapa final'!$K$49="Muy Alta",'Mapa final'!$O$49="Catastrófico"),CONCATENATE("R",'Mapa final'!$A$49),"")</f>
        <v/>
      </c>
      <c r="AY12" s="455"/>
      <c r="AZ12" s="455" t="str">
        <f>IF(AND('Mapa final'!$K$52="Muy Alta",'Mapa final'!$O$52="Catastrófico"),CONCATENATE("R",'Mapa final'!$A$52),"")</f>
        <v/>
      </c>
      <c r="BA12" s="455"/>
      <c r="BB12" s="455" t="str">
        <f>IF(AND('Mapa final'!$K$55="Muy Alta",'Mapa final'!$O$55="Catastrófico"),CONCATENATE("R",'Mapa final'!$A$55),"")</f>
        <v/>
      </c>
      <c r="BC12" s="455"/>
      <c r="BD12" s="455" t="str">
        <f>IF(AND('Mapa final'!$K$58="Muy Alta",'Mapa final'!$O$58="Catastrófico"),CONCATENATE("R",'Mapa final'!$A$58),"")</f>
        <v/>
      </c>
      <c r="BE12" s="455"/>
      <c r="BF12" s="455" t="str">
        <f>IF(AND('Mapa final'!$K$61="Muy Alta",'Mapa final'!$O$61="Catastrófico"),CONCATENATE("R",'Mapa final'!$A$61),"")</f>
        <v/>
      </c>
      <c r="BG12" s="4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row>
    <row r="13" spans="1:119" ht="15" customHeight="1" thickBot="1" x14ac:dyDescent="0.4">
      <c r="A13" s="56"/>
      <c r="B13" s="300"/>
      <c r="C13" s="300"/>
      <c r="D13" s="301"/>
      <c r="E13" s="524"/>
      <c r="F13" s="525"/>
      <c r="G13" s="525"/>
      <c r="H13" s="525"/>
      <c r="I13" s="530"/>
      <c r="J13" s="461"/>
      <c r="K13" s="461"/>
      <c r="L13" s="461"/>
      <c r="M13" s="461"/>
      <c r="N13" s="461"/>
      <c r="O13" s="461"/>
      <c r="P13" s="461"/>
      <c r="Q13" s="461"/>
      <c r="R13" s="461"/>
      <c r="S13" s="461"/>
      <c r="T13" s="463"/>
      <c r="U13" s="461"/>
      <c r="V13" s="461"/>
      <c r="W13" s="461"/>
      <c r="X13" s="461"/>
      <c r="Y13" s="461"/>
      <c r="Z13" s="461"/>
      <c r="AA13" s="461"/>
      <c r="AB13" s="461"/>
      <c r="AC13" s="462"/>
      <c r="AD13" s="463"/>
      <c r="AE13" s="461"/>
      <c r="AF13" s="461"/>
      <c r="AG13" s="461"/>
      <c r="AH13" s="461"/>
      <c r="AI13" s="461"/>
      <c r="AJ13" s="461"/>
      <c r="AK13" s="461"/>
      <c r="AL13" s="461"/>
      <c r="AM13" s="462"/>
      <c r="AN13" s="463"/>
      <c r="AO13" s="461"/>
      <c r="AP13" s="461"/>
      <c r="AQ13" s="461"/>
      <c r="AR13" s="461"/>
      <c r="AS13" s="461"/>
      <c r="AT13" s="461"/>
      <c r="AU13" s="461"/>
      <c r="AV13" s="461"/>
      <c r="AW13" s="462"/>
      <c r="AX13" s="457"/>
      <c r="AY13" s="455"/>
      <c r="AZ13" s="455"/>
      <c r="BA13" s="455"/>
      <c r="BB13" s="455"/>
      <c r="BC13" s="455"/>
      <c r="BD13" s="455"/>
      <c r="BE13" s="455"/>
      <c r="BF13" s="455"/>
      <c r="BG13" s="4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row>
    <row r="14" spans="1:119" ht="15" customHeight="1" x14ac:dyDescent="0.35">
      <c r="A14" s="56"/>
      <c r="B14" s="300"/>
      <c r="C14" s="300"/>
      <c r="D14" s="301"/>
      <c r="E14" s="524"/>
      <c r="F14" s="525"/>
      <c r="G14" s="525"/>
      <c r="H14" s="525"/>
      <c r="I14" s="530"/>
      <c r="J14" s="461" t="str">
        <f>IF(AND('Mapa final'!$K$64="Muy Alta",'Mapa final'!$O$64="Leve"),CONCATENATE("R",'Mapa final'!$A$64),"")</f>
        <v/>
      </c>
      <c r="K14" s="461"/>
      <c r="L14" s="461" t="str">
        <f>IF(AND('Mapa final'!$K$67="Muy Alta",'Mapa final'!$O$67="Leve"),CONCATENATE("R",'Mapa final'!$A$67),"")</f>
        <v/>
      </c>
      <c r="M14" s="461"/>
      <c r="N14" s="461" t="str">
        <f>IF(AND('Mapa final'!$K$73="Muy Alta",'Mapa final'!$O$73="Leve"),CONCATENATE("R",'Mapa final'!$A$73),"")</f>
        <v/>
      </c>
      <c r="O14" s="461"/>
      <c r="P14" s="461" t="str">
        <f>IF(AND('Mapa final'!$K$76="Muy Alta",'Mapa final'!$O$76="Leve"),CONCATENATE("R",'Mapa final'!$A$76),"")</f>
        <v/>
      </c>
      <c r="Q14" s="461"/>
      <c r="R14" s="461" t="str">
        <f>IF(AND('Mapa final'!$K$79="Muy Alta",'Mapa final'!$O$79="Leve"),CONCATENATE("R",'Mapa final'!$A$79),"")</f>
        <v/>
      </c>
      <c r="S14" s="461"/>
      <c r="T14" s="463" t="str">
        <f>IF(AND('Mapa final'!$K$64="Muy Alta",'Mapa final'!$O$64="Menor"),CONCATENATE("R",'Mapa final'!$A$64),"")</f>
        <v/>
      </c>
      <c r="U14" s="461"/>
      <c r="V14" s="461" t="str">
        <f>IF(AND('Mapa final'!$K$67="Muy Alta",'Mapa final'!$O$67="Menor"),CONCATENATE("R",'Mapa final'!$A$67),"")</f>
        <v/>
      </c>
      <c r="W14" s="461"/>
      <c r="X14" s="461" t="str">
        <f>IF(AND('Mapa final'!$K$73="Muy Alta",'Mapa final'!$O$73="Menor"),CONCATENATE("R",'Mapa final'!$A$73),"")</f>
        <v/>
      </c>
      <c r="Y14" s="461"/>
      <c r="Z14" s="461" t="str">
        <f>IF(AND('Mapa final'!$K$76="Muy Alta",'Mapa final'!$O$76="Menor"),CONCATENATE("R",'Mapa final'!$A$76),"")</f>
        <v/>
      </c>
      <c r="AA14" s="461"/>
      <c r="AB14" s="461" t="str">
        <f>IF(AND('Mapa final'!$K$79="Muy Alta",'Mapa final'!$O$79="Menor"),CONCATENATE("R",'Mapa final'!$A$79),"")</f>
        <v/>
      </c>
      <c r="AC14" s="462"/>
      <c r="AD14" s="463" t="str">
        <f>IF(AND('Mapa final'!$K$64="Muy Alta",'Mapa final'!$O$64="Moderado"),CONCATENATE("R",'Mapa final'!$A$64),"")</f>
        <v/>
      </c>
      <c r="AE14" s="461"/>
      <c r="AF14" s="461" t="str">
        <f>IF(AND('Mapa final'!$K$67="Muy Alta",'Mapa final'!$O$67="Moderado"),CONCATENATE("R",'Mapa final'!$A$67),"")</f>
        <v/>
      </c>
      <c r="AG14" s="461"/>
      <c r="AH14" s="461" t="str">
        <f>IF(AND('Mapa final'!$K$73="Muy Alta",'Mapa final'!$O$73="Moderado"),CONCATENATE("R",'Mapa final'!$A$73),"")</f>
        <v/>
      </c>
      <c r="AI14" s="461"/>
      <c r="AJ14" s="461" t="str">
        <f>IF(AND('Mapa final'!$K$76="Muy Alta",'Mapa final'!$O$76="Moderado"),CONCATENATE("R",'Mapa final'!$A$76),"")</f>
        <v/>
      </c>
      <c r="AK14" s="461"/>
      <c r="AL14" s="461" t="str">
        <f>IF(AND('Mapa final'!$K$79="Muy Alta",'Mapa final'!$O$79="Moderado"),CONCATENATE("R",'Mapa final'!$A$79),"")</f>
        <v/>
      </c>
      <c r="AM14" s="462"/>
      <c r="AN14" s="463" t="str">
        <f>IF(AND('Mapa final'!$K$64="Muy Alta",'Mapa final'!$O$64="Mayor"),CONCATENATE("R",'Mapa final'!$A$64),"")</f>
        <v/>
      </c>
      <c r="AO14" s="461"/>
      <c r="AP14" s="461" t="str">
        <f>IF(AND('Mapa final'!$K$67="Muy Alta",'Mapa final'!$O$67="Mayor"),CONCATENATE("R",'Mapa final'!$A$67),"")</f>
        <v/>
      </c>
      <c r="AQ14" s="461"/>
      <c r="AR14" s="461" t="str">
        <f>IF(AND('Mapa final'!$K$73="Muy Alta",'Mapa final'!$O$73="Mayor"),CONCATENATE("R",'Mapa final'!$A$73),"")</f>
        <v/>
      </c>
      <c r="AS14" s="461"/>
      <c r="AT14" s="461" t="str">
        <f>IF(AND('Mapa final'!$K$76="Muy Alta",'Mapa final'!$O$76="Mayor"),CONCATENATE("R",'Mapa final'!$A$76),"")</f>
        <v/>
      </c>
      <c r="AU14" s="461"/>
      <c r="AV14" s="461" t="str">
        <f>IF(AND('Mapa final'!$K$79="Muy Alta",'Mapa final'!$O$79="Mayor"),CONCATENATE("R",'Mapa final'!$A$79),"")</f>
        <v/>
      </c>
      <c r="AW14" s="462"/>
      <c r="AX14" s="457" t="str">
        <f>IF(AND('Mapa final'!$K$64="Muy Alta",'Mapa final'!$O$64="Catastrófico"),CONCATENATE("R",'Mapa final'!$A$64),"")</f>
        <v/>
      </c>
      <c r="AY14" s="455"/>
      <c r="AZ14" s="455" t="str">
        <f>IF(AND('Mapa final'!$K$67="Muy Alta",'Mapa final'!$O$67="Catastrófico"),CONCATENATE("R",'Mapa final'!$A$67),"")</f>
        <v/>
      </c>
      <c r="BA14" s="455"/>
      <c r="BB14" s="455" t="str">
        <f>IF(AND('Mapa final'!$K$73="Muy Alta",'Mapa final'!$O$73="Catastrófico"),CONCATENATE("R",'Mapa final'!$A$73),"")</f>
        <v/>
      </c>
      <c r="BC14" s="455"/>
      <c r="BD14" s="455" t="str">
        <f>IF(AND('Mapa final'!$K$76="Muy Alta",'Mapa final'!$O$76="Catastrófico"),CONCATENATE("R",'Mapa final'!$A$76),"")</f>
        <v/>
      </c>
      <c r="BE14" s="455"/>
      <c r="BF14" s="455" t="str">
        <f>IF(AND('Mapa final'!$K$79="Muy Alta",'Mapa final'!$O$79="Catastrófico"),CONCATENATE("R",'Mapa final'!$A$79),"")</f>
        <v/>
      </c>
      <c r="BG14" s="456"/>
      <c r="BH14" s="56"/>
      <c r="BI14" s="486" t="s">
        <v>73</v>
      </c>
      <c r="BJ14" s="487"/>
      <c r="BK14" s="487"/>
      <c r="BL14" s="487"/>
      <c r="BM14" s="487"/>
      <c r="BN14" s="488"/>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row>
    <row r="15" spans="1:119" ht="15" customHeight="1" x14ac:dyDescent="0.35">
      <c r="A15" s="56"/>
      <c r="B15" s="300"/>
      <c r="C15" s="300"/>
      <c r="D15" s="301"/>
      <c r="E15" s="524"/>
      <c r="F15" s="525"/>
      <c r="G15" s="525"/>
      <c r="H15" s="525"/>
      <c r="I15" s="530"/>
      <c r="J15" s="461"/>
      <c r="K15" s="461"/>
      <c r="L15" s="461"/>
      <c r="M15" s="461"/>
      <c r="N15" s="461"/>
      <c r="O15" s="461"/>
      <c r="P15" s="461"/>
      <c r="Q15" s="461"/>
      <c r="R15" s="461"/>
      <c r="S15" s="461"/>
      <c r="T15" s="463"/>
      <c r="U15" s="461"/>
      <c r="V15" s="461"/>
      <c r="W15" s="461"/>
      <c r="X15" s="461"/>
      <c r="Y15" s="461"/>
      <c r="Z15" s="461"/>
      <c r="AA15" s="461"/>
      <c r="AB15" s="461"/>
      <c r="AC15" s="462"/>
      <c r="AD15" s="463"/>
      <c r="AE15" s="461"/>
      <c r="AF15" s="461"/>
      <c r="AG15" s="461"/>
      <c r="AH15" s="461"/>
      <c r="AI15" s="461"/>
      <c r="AJ15" s="461"/>
      <c r="AK15" s="461"/>
      <c r="AL15" s="461"/>
      <c r="AM15" s="462"/>
      <c r="AN15" s="463"/>
      <c r="AO15" s="461"/>
      <c r="AP15" s="461"/>
      <c r="AQ15" s="461"/>
      <c r="AR15" s="461"/>
      <c r="AS15" s="461"/>
      <c r="AT15" s="461"/>
      <c r="AU15" s="461"/>
      <c r="AV15" s="461"/>
      <c r="AW15" s="462"/>
      <c r="AX15" s="457"/>
      <c r="AY15" s="455"/>
      <c r="AZ15" s="455"/>
      <c r="BA15" s="455"/>
      <c r="BB15" s="455"/>
      <c r="BC15" s="455"/>
      <c r="BD15" s="455"/>
      <c r="BE15" s="455"/>
      <c r="BF15" s="455"/>
      <c r="BG15" s="456"/>
      <c r="BH15" s="56"/>
      <c r="BI15" s="489"/>
      <c r="BJ15" s="490"/>
      <c r="BK15" s="490"/>
      <c r="BL15" s="490"/>
      <c r="BM15" s="490"/>
      <c r="BN15" s="491"/>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row>
    <row r="16" spans="1:119" ht="15" customHeight="1" x14ac:dyDescent="0.35">
      <c r="A16" s="56"/>
      <c r="B16" s="300"/>
      <c r="C16" s="300"/>
      <c r="D16" s="301"/>
      <c r="E16" s="524"/>
      <c r="F16" s="525"/>
      <c r="G16" s="525"/>
      <c r="H16" s="525"/>
      <c r="I16" s="530"/>
      <c r="J16" s="461" t="str">
        <f>IF(AND('Mapa final'!$K$82="Muy Alta",'Mapa final'!$O$82="Leve"),CONCATENATE("R",'Mapa final'!$A$82),"")</f>
        <v/>
      </c>
      <c r="K16" s="461"/>
      <c r="L16" s="461" t="str">
        <f>IF(AND('Mapa final'!$K$85="Muy Alta",'Mapa final'!$O$85="Leve"),CONCATENATE("R",'Mapa final'!$A$85),"")</f>
        <v/>
      </c>
      <c r="M16" s="461"/>
      <c r="N16" s="461" t="str">
        <f>IF(AND('Mapa final'!$K$88="Muy Alta",'Mapa final'!$O$88="Leve"),CONCATENATE("R",'Mapa final'!$A$88),"")</f>
        <v/>
      </c>
      <c r="O16" s="461"/>
      <c r="P16" s="461" t="str">
        <f>IF(AND('Mapa final'!$K$91="Muy Alta",'Mapa final'!$O$91="Leve"),CONCATENATE("R",'Mapa final'!$A$91),"")</f>
        <v/>
      </c>
      <c r="Q16" s="461"/>
      <c r="R16" s="461" t="str">
        <f>IF(AND('Mapa final'!$K$94="Muy Alta",'Mapa final'!$O$94="Leve"),CONCATENATE("R",'Mapa final'!$A$94),"")</f>
        <v/>
      </c>
      <c r="S16" s="461"/>
      <c r="T16" s="463" t="str">
        <f>IF(AND('Mapa final'!$K$82="Muy Alta",'Mapa final'!$O$82="Menor"),CONCATENATE("R",'Mapa final'!$A$82),"")</f>
        <v/>
      </c>
      <c r="U16" s="461"/>
      <c r="V16" s="461" t="str">
        <f>IF(AND('Mapa final'!$K$85="Muy Alta",'Mapa final'!$O$85="Menor"),CONCATENATE("R",'Mapa final'!$A$85),"")</f>
        <v/>
      </c>
      <c r="W16" s="461"/>
      <c r="X16" s="461" t="str">
        <f>IF(AND('Mapa final'!$K$88="Muy Alta",'Mapa final'!$O$88="Menor"),CONCATENATE("R",'Mapa final'!$A$88),"")</f>
        <v/>
      </c>
      <c r="Y16" s="461"/>
      <c r="Z16" s="461" t="str">
        <f>IF(AND('Mapa final'!$K$91="Muy Alta",'Mapa final'!$O$91="Menor"),CONCATENATE("R",'Mapa final'!$A$91),"")</f>
        <v/>
      </c>
      <c r="AA16" s="461"/>
      <c r="AB16" s="461" t="str">
        <f>IF(AND('Mapa final'!$K$94="Muy Alta",'Mapa final'!$O$94="Menor"),CONCATENATE("R",'Mapa final'!$A$94),"")</f>
        <v/>
      </c>
      <c r="AC16" s="462"/>
      <c r="AD16" s="463" t="str">
        <f>IF(AND('Mapa final'!$K$82="Muy Alta",'Mapa final'!$O$82="Moderado"),CONCATENATE("R",'Mapa final'!$A$82),"")</f>
        <v/>
      </c>
      <c r="AE16" s="461"/>
      <c r="AF16" s="461" t="str">
        <f>IF(AND('Mapa final'!$K$85="Muy Alta",'Mapa final'!$O$85="Moderado"),CONCATENATE("R",'Mapa final'!$A$85),"")</f>
        <v/>
      </c>
      <c r="AG16" s="461"/>
      <c r="AH16" s="461" t="str">
        <f>IF(AND('Mapa final'!$K$88="Muy Alta",'Mapa final'!$O$88="Moderado"),CONCATENATE("R",'Mapa final'!$A$88),"")</f>
        <v/>
      </c>
      <c r="AI16" s="461"/>
      <c r="AJ16" s="461" t="str">
        <f>IF(AND('Mapa final'!$K$91="Muy Alta",'Mapa final'!$O$91="Moderado"),CONCATENATE("R",'Mapa final'!$A$91),"")</f>
        <v/>
      </c>
      <c r="AK16" s="461"/>
      <c r="AL16" s="461" t="str">
        <f>IF(AND('Mapa final'!$K$94="Muy Alta",'Mapa final'!$O$94="Moderado"),CONCATENATE("R",'Mapa final'!$A$94),"")</f>
        <v/>
      </c>
      <c r="AM16" s="462"/>
      <c r="AN16" s="463" t="str">
        <f>IF(AND('Mapa final'!$K$82="Muy Alta",'Mapa final'!$O$82="Mayor"),CONCATENATE("R",'Mapa final'!$A$82),"")</f>
        <v/>
      </c>
      <c r="AO16" s="461"/>
      <c r="AP16" s="461" t="str">
        <f>IF(AND('Mapa final'!$K$85="Muy Alta",'Mapa final'!$O$85="Mayor"),CONCATENATE("R",'Mapa final'!$A$85),"")</f>
        <v/>
      </c>
      <c r="AQ16" s="461"/>
      <c r="AR16" s="461" t="str">
        <f>IF(AND('Mapa final'!$K$88="Muy Alta",'Mapa final'!$O$88="Mayor"),CONCATENATE("R",'Mapa final'!$A$88),"")</f>
        <v/>
      </c>
      <c r="AS16" s="461"/>
      <c r="AT16" s="461" t="str">
        <f>IF(AND('Mapa final'!$K$91="Muy Alta",'Mapa final'!$O$91="Mayor"),CONCATENATE("R",'Mapa final'!$A$91),"")</f>
        <v/>
      </c>
      <c r="AU16" s="461"/>
      <c r="AV16" s="461" t="str">
        <f>IF(AND('Mapa final'!$K$94="Muy Alta",'Mapa final'!$O$94="Mayor"),CONCATENATE("R",'Mapa final'!$A$94),"")</f>
        <v/>
      </c>
      <c r="AW16" s="462"/>
      <c r="AX16" s="457" t="str">
        <f>IF(AND('Mapa final'!$K$82="Muy Alta",'Mapa final'!$O$82="Catastrófico"),CONCATENATE("R",'Mapa final'!$A$82),"")</f>
        <v/>
      </c>
      <c r="AY16" s="455"/>
      <c r="AZ16" s="455" t="str">
        <f>IF(AND('Mapa final'!$K$85="Muy Alta",'Mapa final'!$O$85="Catastrófico"),CONCATENATE("R",'Mapa final'!$A$85),"")</f>
        <v/>
      </c>
      <c r="BA16" s="455"/>
      <c r="BB16" s="455" t="str">
        <f>IF(AND('Mapa final'!$K$88="Muy Alta",'Mapa final'!$O$88="Catastrófico"),CONCATENATE("R",'Mapa final'!$A$88),"")</f>
        <v/>
      </c>
      <c r="BC16" s="455"/>
      <c r="BD16" s="455" t="str">
        <f>IF(AND('Mapa final'!$K$91="Muy Alta",'Mapa final'!$O$91="Catastrófico"),CONCATENATE("R",'Mapa final'!$A$91),"")</f>
        <v/>
      </c>
      <c r="BE16" s="455"/>
      <c r="BF16" s="455" t="str">
        <f>IF(AND('Mapa final'!$K$94="Muy Alta",'Mapa final'!$O$94="Catastrófico"),CONCATENATE("R",'Mapa final'!$A$94),"")</f>
        <v/>
      </c>
      <c r="BG16" s="456"/>
      <c r="BH16" s="56"/>
      <c r="BI16" s="489"/>
      <c r="BJ16" s="490"/>
      <c r="BK16" s="490"/>
      <c r="BL16" s="490"/>
      <c r="BM16" s="490"/>
      <c r="BN16" s="491"/>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row>
    <row r="17" spans="1:100" ht="15" customHeight="1" x14ac:dyDescent="0.35">
      <c r="A17" s="56"/>
      <c r="B17" s="300"/>
      <c r="C17" s="300"/>
      <c r="D17" s="301"/>
      <c r="E17" s="524"/>
      <c r="F17" s="525"/>
      <c r="G17" s="525"/>
      <c r="H17" s="525"/>
      <c r="I17" s="530"/>
      <c r="J17" s="461"/>
      <c r="K17" s="461"/>
      <c r="L17" s="461"/>
      <c r="M17" s="461"/>
      <c r="N17" s="461"/>
      <c r="O17" s="461"/>
      <c r="P17" s="461"/>
      <c r="Q17" s="461"/>
      <c r="R17" s="461"/>
      <c r="S17" s="461"/>
      <c r="T17" s="463"/>
      <c r="U17" s="461"/>
      <c r="V17" s="461"/>
      <c r="W17" s="461"/>
      <c r="X17" s="461"/>
      <c r="Y17" s="461"/>
      <c r="Z17" s="461"/>
      <c r="AA17" s="461"/>
      <c r="AB17" s="461"/>
      <c r="AC17" s="462"/>
      <c r="AD17" s="463"/>
      <c r="AE17" s="461"/>
      <c r="AF17" s="461"/>
      <c r="AG17" s="461"/>
      <c r="AH17" s="461"/>
      <c r="AI17" s="461"/>
      <c r="AJ17" s="461"/>
      <c r="AK17" s="461"/>
      <c r="AL17" s="461"/>
      <c r="AM17" s="462"/>
      <c r="AN17" s="463"/>
      <c r="AO17" s="461"/>
      <c r="AP17" s="461"/>
      <c r="AQ17" s="461"/>
      <c r="AR17" s="461"/>
      <c r="AS17" s="461"/>
      <c r="AT17" s="461"/>
      <c r="AU17" s="461"/>
      <c r="AV17" s="461"/>
      <c r="AW17" s="462"/>
      <c r="AX17" s="457"/>
      <c r="AY17" s="455"/>
      <c r="AZ17" s="455"/>
      <c r="BA17" s="455"/>
      <c r="BB17" s="455"/>
      <c r="BC17" s="455"/>
      <c r="BD17" s="455"/>
      <c r="BE17" s="455"/>
      <c r="BF17" s="455"/>
      <c r="BG17" s="456"/>
      <c r="BH17" s="56"/>
      <c r="BI17" s="489"/>
      <c r="BJ17" s="490"/>
      <c r="BK17" s="490"/>
      <c r="BL17" s="490"/>
      <c r="BM17" s="490"/>
      <c r="BN17" s="491"/>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row>
    <row r="18" spans="1:100" ht="15" customHeight="1" x14ac:dyDescent="0.35">
      <c r="A18" s="56"/>
      <c r="B18" s="300"/>
      <c r="C18" s="300"/>
      <c r="D18" s="301"/>
      <c r="E18" s="524"/>
      <c r="F18" s="525"/>
      <c r="G18" s="525"/>
      <c r="H18" s="525"/>
      <c r="I18" s="530"/>
      <c r="J18" s="461" t="str">
        <f>IF(AND('Mapa final'!$K$97="Muy Alta",'Mapa final'!$O$97="Leve"),CONCATENATE("R",'Mapa final'!$A$97),"")</f>
        <v/>
      </c>
      <c r="K18" s="461"/>
      <c r="L18" s="461" t="e">
        <f>IF(AND('Mapa final'!#REF!="Muy Alta",'Mapa final'!#REF!="Leve"),CONCATENATE("R",'Mapa final'!#REF!),"")</f>
        <v>#REF!</v>
      </c>
      <c r="M18" s="461"/>
      <c r="N18" s="461" t="str">
        <f>IF(AND('Mapa final'!$K$100="Muy Alta",'Mapa final'!$O$100="Leve"),CONCATENATE("R",'Mapa final'!$A$100),"")</f>
        <v/>
      </c>
      <c r="O18" s="461"/>
      <c r="P18" s="461" t="str">
        <f>IF(AND('Mapa final'!$K$103="Muy Alta",'Mapa final'!$O$103="Leve"),CONCATENATE("R",'Mapa final'!$A$103),"")</f>
        <v/>
      </c>
      <c r="Q18" s="461"/>
      <c r="R18" s="461" t="str">
        <f>IF(AND('Mapa final'!$K$106="Muy Alta",'Mapa final'!$O$106="Leve"),CONCATENATE("R",'Mapa final'!$A$106),"")</f>
        <v/>
      </c>
      <c r="S18" s="461"/>
      <c r="T18" s="463" t="str">
        <f>IF(AND('Mapa final'!$K$97="Muy Alta",'Mapa final'!$O$97="Menor"),CONCATENATE("R",'Mapa final'!$A$97),"")</f>
        <v/>
      </c>
      <c r="U18" s="461"/>
      <c r="V18" s="461" t="e">
        <f>IF(AND('Mapa final'!#REF!="Muy Alta",'Mapa final'!#REF!="Menor"),CONCATENATE("R",'Mapa final'!#REF!),"")</f>
        <v>#REF!</v>
      </c>
      <c r="W18" s="461"/>
      <c r="X18" s="461" t="str">
        <f>IF(AND('Mapa final'!$K$100="Muy Alta",'Mapa final'!$O$100="Menor"),CONCATENATE("R",'Mapa final'!$A$100),"")</f>
        <v/>
      </c>
      <c r="Y18" s="461"/>
      <c r="Z18" s="461" t="str">
        <f>IF(AND('Mapa final'!$K$103="Muy Alta",'Mapa final'!$O$103="Menor"),CONCATENATE("R",'Mapa final'!$A$103),"")</f>
        <v/>
      </c>
      <c r="AA18" s="461"/>
      <c r="AB18" s="461" t="str">
        <f>IF(AND('Mapa final'!$K$106="Muy Alta",'Mapa final'!$O$106="Menor"),CONCATENATE("R",'Mapa final'!$A$106),"")</f>
        <v/>
      </c>
      <c r="AC18" s="462"/>
      <c r="AD18" s="463" t="str">
        <f>IF(AND('Mapa final'!$K$97="Muy Alta",'Mapa final'!$O$97="Moderado"),CONCATENATE("R",'Mapa final'!$A$97),"")</f>
        <v/>
      </c>
      <c r="AE18" s="461"/>
      <c r="AF18" s="461" t="e">
        <f>IF(AND('Mapa final'!#REF!="Muy Alta",'Mapa final'!#REF!="Moderado"),CONCATENATE("R",'Mapa final'!#REF!),"")</f>
        <v>#REF!</v>
      </c>
      <c r="AG18" s="461"/>
      <c r="AH18" s="461" t="str">
        <f>IF(AND('Mapa final'!$K$100="Muy Alta",'Mapa final'!$O$100="Moderado"),CONCATENATE("R",'Mapa final'!$A$100),"")</f>
        <v/>
      </c>
      <c r="AI18" s="461"/>
      <c r="AJ18" s="461" t="str">
        <f>IF(AND('Mapa final'!$K$103="Muy Alta",'Mapa final'!$O$103="Moderado"),CONCATENATE("R",'Mapa final'!$A$103),"")</f>
        <v/>
      </c>
      <c r="AK18" s="461"/>
      <c r="AL18" s="461" t="str">
        <f>IF(AND('Mapa final'!$K$106="Muy Alta",'Mapa final'!$O$106="Moderado"),CONCATENATE("R",'Mapa final'!$A$106),"")</f>
        <v/>
      </c>
      <c r="AM18" s="462"/>
      <c r="AN18" s="463" t="str">
        <f>IF(AND('Mapa final'!$K$97="Muy Alta",'Mapa final'!$O$97="Mayor"),CONCATENATE("R",'Mapa final'!$A$97),"")</f>
        <v/>
      </c>
      <c r="AO18" s="461"/>
      <c r="AP18" s="461" t="e">
        <f>IF(AND('Mapa final'!#REF!="Muy Alta",'Mapa final'!#REF!="Mayor"),CONCATENATE("R",'Mapa final'!#REF!),"")</f>
        <v>#REF!</v>
      </c>
      <c r="AQ18" s="461"/>
      <c r="AR18" s="461" t="str">
        <f>IF(AND('Mapa final'!$K$100="Muy Alta",'Mapa final'!$O$100="Mayor"),CONCATENATE("R",'Mapa final'!$A$100),"")</f>
        <v/>
      </c>
      <c r="AS18" s="461"/>
      <c r="AT18" s="461" t="str">
        <f>IF(AND('Mapa final'!$K$103="Muy Alta",'Mapa final'!$O$103="Mayor"),CONCATENATE("R",'Mapa final'!$A$103),"")</f>
        <v/>
      </c>
      <c r="AU18" s="461"/>
      <c r="AV18" s="461" t="str">
        <f>IF(AND('Mapa final'!$K$106="Muy Alta",'Mapa final'!$O$106="Mayor"),CONCATENATE("R",'Mapa final'!$A$106),"")</f>
        <v/>
      </c>
      <c r="AW18" s="462"/>
      <c r="AX18" s="457" t="str">
        <f>IF(AND('Mapa final'!$K$97="Muy Alta",'Mapa final'!$O$97="Catastrófico"),CONCATENATE("R",'Mapa final'!$A$97),"")</f>
        <v/>
      </c>
      <c r="AY18" s="455"/>
      <c r="AZ18" s="455" t="e">
        <f>IF(AND('Mapa final'!#REF!="Muy Alta",'Mapa final'!#REF!="Catastrófico"),CONCATENATE("R",'Mapa final'!#REF!),"")</f>
        <v>#REF!</v>
      </c>
      <c r="BA18" s="455"/>
      <c r="BB18" s="455" t="str">
        <f>IF(AND('Mapa final'!$K$100="Muy Alta",'Mapa final'!$O$100="Catastrófico"),CONCATENATE("R",'Mapa final'!$A$100),"")</f>
        <v/>
      </c>
      <c r="BC18" s="455"/>
      <c r="BD18" s="455" t="str">
        <f>IF(AND('Mapa final'!$K$103="Muy Alta",'Mapa final'!$O$103="Catastrófico"),CONCATENATE("R",'Mapa final'!$A$103),"")</f>
        <v/>
      </c>
      <c r="BE18" s="455"/>
      <c r="BF18" s="455" t="str">
        <f>IF(AND('Mapa final'!$K$106="Muy Alta",'Mapa final'!$O$106="Catastrófico"),CONCATENATE("R",'Mapa final'!$A$106),"")</f>
        <v/>
      </c>
      <c r="BG18" s="456"/>
      <c r="BH18" s="56"/>
      <c r="BI18" s="489"/>
      <c r="BJ18" s="490"/>
      <c r="BK18" s="490"/>
      <c r="BL18" s="490"/>
      <c r="BM18" s="490"/>
      <c r="BN18" s="491"/>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row>
    <row r="19" spans="1:100" ht="15" customHeight="1" x14ac:dyDescent="0.35">
      <c r="A19" s="56"/>
      <c r="B19" s="300"/>
      <c r="C19" s="300"/>
      <c r="D19" s="301"/>
      <c r="E19" s="524"/>
      <c r="F19" s="525"/>
      <c r="G19" s="525"/>
      <c r="H19" s="525"/>
      <c r="I19" s="530"/>
      <c r="J19" s="461"/>
      <c r="K19" s="461"/>
      <c r="L19" s="461"/>
      <c r="M19" s="461"/>
      <c r="N19" s="461"/>
      <c r="O19" s="461"/>
      <c r="P19" s="461"/>
      <c r="Q19" s="461"/>
      <c r="R19" s="461"/>
      <c r="S19" s="461"/>
      <c r="T19" s="463"/>
      <c r="U19" s="461"/>
      <c r="V19" s="461"/>
      <c r="W19" s="461"/>
      <c r="X19" s="461"/>
      <c r="Y19" s="461"/>
      <c r="Z19" s="461"/>
      <c r="AA19" s="461"/>
      <c r="AB19" s="461"/>
      <c r="AC19" s="462"/>
      <c r="AD19" s="463"/>
      <c r="AE19" s="461"/>
      <c r="AF19" s="461"/>
      <c r="AG19" s="461"/>
      <c r="AH19" s="461"/>
      <c r="AI19" s="461"/>
      <c r="AJ19" s="461"/>
      <c r="AK19" s="461"/>
      <c r="AL19" s="461"/>
      <c r="AM19" s="462"/>
      <c r="AN19" s="463"/>
      <c r="AO19" s="461"/>
      <c r="AP19" s="461"/>
      <c r="AQ19" s="461"/>
      <c r="AR19" s="461"/>
      <c r="AS19" s="461"/>
      <c r="AT19" s="461"/>
      <c r="AU19" s="461"/>
      <c r="AV19" s="461"/>
      <c r="AW19" s="462"/>
      <c r="AX19" s="457"/>
      <c r="AY19" s="455"/>
      <c r="AZ19" s="455"/>
      <c r="BA19" s="455"/>
      <c r="BB19" s="455"/>
      <c r="BC19" s="455"/>
      <c r="BD19" s="455"/>
      <c r="BE19" s="455"/>
      <c r="BF19" s="455"/>
      <c r="BG19" s="456"/>
      <c r="BH19" s="56"/>
      <c r="BI19" s="489"/>
      <c r="BJ19" s="490"/>
      <c r="BK19" s="490"/>
      <c r="BL19" s="490"/>
      <c r="BM19" s="490"/>
      <c r="BN19" s="491"/>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row>
    <row r="20" spans="1:100" ht="15" customHeight="1" x14ac:dyDescent="0.35">
      <c r="A20" s="56"/>
      <c r="B20" s="300"/>
      <c r="C20" s="300"/>
      <c r="D20" s="301"/>
      <c r="E20" s="524"/>
      <c r="F20" s="525"/>
      <c r="G20" s="525"/>
      <c r="H20" s="525"/>
      <c r="I20" s="530"/>
      <c r="J20" s="461" t="str">
        <f>IF(AND('Mapa final'!$K$109="Muy Alta",'Mapa final'!$O$109="Leve"),CONCATENATE("R",'Mapa final'!$A$109),"")</f>
        <v/>
      </c>
      <c r="K20" s="461"/>
      <c r="L20" s="461" t="str">
        <f>IF(AND('Mapa final'!$K$112="Muy Alta",'Mapa final'!$O$112="Leve"),CONCATENATE("R",'Mapa final'!$A$112),"")</f>
        <v/>
      </c>
      <c r="M20" s="461"/>
      <c r="N20" s="461" t="str">
        <f>IF(AND('Mapa final'!$K$115="Muy Alta",'Mapa final'!$O$115="Leve"),CONCATENATE("R",'Mapa final'!$A$115),"")</f>
        <v/>
      </c>
      <c r="O20" s="461"/>
      <c r="P20" s="461" t="str">
        <f>IF(AND('Mapa final'!$K$118="Muy Alta",'Mapa final'!$O$118="Leve"),CONCATENATE("R",'Mapa final'!$A$118),"")</f>
        <v/>
      </c>
      <c r="Q20" s="461"/>
      <c r="R20" s="461" t="str">
        <f>IF(AND('Mapa final'!$K$121="Muy Alta",'Mapa final'!$O$121="Leve"),CONCATENATE("R",'Mapa final'!$A$121),"")</f>
        <v/>
      </c>
      <c r="S20" s="461"/>
      <c r="T20" s="463" t="str">
        <f>IF(AND('Mapa final'!$K$109="Muy Alta",'Mapa final'!$O$109="Menor"),CONCATENATE("R",'Mapa final'!$A$109),"")</f>
        <v/>
      </c>
      <c r="U20" s="461"/>
      <c r="V20" s="461" t="str">
        <f>IF(AND('Mapa final'!$K$112="Muy Alta",'Mapa final'!$O$112="Menor"),CONCATENATE("R",'Mapa final'!$A$112),"")</f>
        <v/>
      </c>
      <c r="W20" s="461"/>
      <c r="X20" s="461" t="str">
        <f>IF(AND('Mapa final'!$K$115="Muy Alta",'Mapa final'!$O$115="Menor"),CONCATENATE("R",'Mapa final'!$A$115),"")</f>
        <v/>
      </c>
      <c r="Y20" s="461"/>
      <c r="Z20" s="461" t="str">
        <f>IF(AND('Mapa final'!$K$118="Muy Alta",'Mapa final'!$O$118="Menor"),CONCATENATE("R",'Mapa final'!$A$118),"")</f>
        <v/>
      </c>
      <c r="AA20" s="461"/>
      <c r="AB20" s="461" t="str">
        <f>IF(AND('Mapa final'!$K$121="Muy Alta",'Mapa final'!$O$121="Menor"),CONCATENATE("R",'Mapa final'!$A$121),"")</f>
        <v/>
      </c>
      <c r="AC20" s="462"/>
      <c r="AD20" s="463" t="str">
        <f>IF(AND('Mapa final'!$K$109="Muy Alta",'Mapa final'!$O$109="Moderado"),CONCATENATE("R",'Mapa final'!$A$109),"")</f>
        <v/>
      </c>
      <c r="AE20" s="461"/>
      <c r="AF20" s="461" t="str">
        <f>IF(AND('Mapa final'!$K$112="Muy Alta",'Mapa final'!$O$112="Moderado"),CONCATENATE("R",'Mapa final'!$A$112),"")</f>
        <v/>
      </c>
      <c r="AG20" s="461"/>
      <c r="AH20" s="461" t="str">
        <f>IF(AND('Mapa final'!$K$115="Muy Alta",'Mapa final'!$O$115="Moderado"),CONCATENATE("R",'Mapa final'!$A$115),"")</f>
        <v/>
      </c>
      <c r="AI20" s="461"/>
      <c r="AJ20" s="461" t="str">
        <f>IF(AND('Mapa final'!$K$118="Muy Alta",'Mapa final'!$O$118="Moderado"),CONCATENATE("R",'Mapa final'!$A$118),"")</f>
        <v/>
      </c>
      <c r="AK20" s="461"/>
      <c r="AL20" s="461" t="str">
        <f>IF(AND('Mapa final'!$K$121="Muy Alta",'Mapa final'!$O$121="Moderado"),CONCATENATE("R",'Mapa final'!$A$121),"")</f>
        <v/>
      </c>
      <c r="AM20" s="462"/>
      <c r="AN20" s="463" t="str">
        <f>IF(AND('Mapa final'!$K$109="Muy Alta",'Mapa final'!$O$109="Mayor"),CONCATENATE("R",'Mapa final'!$A$109),"")</f>
        <v/>
      </c>
      <c r="AO20" s="461"/>
      <c r="AP20" s="461" t="str">
        <f>IF(AND('Mapa final'!$K$112="Muy Alta",'Mapa final'!$O$112="Mayor"),CONCATENATE("R",'Mapa final'!$A$112),"")</f>
        <v/>
      </c>
      <c r="AQ20" s="461"/>
      <c r="AR20" s="461" t="str">
        <f>IF(AND('Mapa final'!$K$115="Muy Alta",'Mapa final'!$O$115="Mayor"),CONCATENATE("R",'Mapa final'!$A$115),"")</f>
        <v/>
      </c>
      <c r="AS20" s="461"/>
      <c r="AT20" s="461" t="str">
        <f>IF(AND('Mapa final'!$K$118="Muy Alta",'Mapa final'!$O$118="Mayor"),CONCATENATE("R",'Mapa final'!$A$118),"")</f>
        <v/>
      </c>
      <c r="AU20" s="461"/>
      <c r="AV20" s="461" t="str">
        <f>IF(AND('Mapa final'!$K$121="Muy Alta",'Mapa final'!$O$121="Mayor"),CONCATENATE("R",'Mapa final'!$A$121),"")</f>
        <v/>
      </c>
      <c r="AW20" s="462"/>
      <c r="AX20" s="457" t="str">
        <f>IF(AND('Mapa final'!$K$109="Muy Alta",'Mapa final'!$O$109="Catastrófico"),CONCATENATE("R",'Mapa final'!$A$109),"")</f>
        <v/>
      </c>
      <c r="AY20" s="455"/>
      <c r="AZ20" s="455" t="str">
        <f>IF(AND('Mapa final'!$K$112="Muy Alta",'Mapa final'!$O$112="Catastrófico"),CONCATENATE("R",'Mapa final'!$A$112),"")</f>
        <v/>
      </c>
      <c r="BA20" s="455"/>
      <c r="BB20" s="455" t="str">
        <f>IF(AND('Mapa final'!$K$115="Muy Alta",'Mapa final'!$O$115="Catastrófico"),CONCATENATE("R",'Mapa final'!$A$115),"")</f>
        <v/>
      </c>
      <c r="BC20" s="455"/>
      <c r="BD20" s="455" t="str">
        <f>IF(AND('Mapa final'!$K$118="Muy Alta",'Mapa final'!$O$118="Catastrófico"),CONCATENATE("R",'Mapa final'!$A$118),"")</f>
        <v/>
      </c>
      <c r="BE20" s="455"/>
      <c r="BF20" s="455" t="str">
        <f>IF(AND('Mapa final'!$K$121="Muy Alta",'Mapa final'!$O$121="Catastrófico"),CONCATENATE("R",'Mapa final'!$A$121),"")</f>
        <v/>
      </c>
      <c r="BG20" s="456"/>
      <c r="BH20" s="56"/>
      <c r="BI20" s="489"/>
      <c r="BJ20" s="490"/>
      <c r="BK20" s="490"/>
      <c r="BL20" s="490"/>
      <c r="BM20" s="490"/>
      <c r="BN20" s="491"/>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row>
    <row r="21" spans="1:100" ht="15" customHeight="1" x14ac:dyDescent="0.35">
      <c r="A21" s="56"/>
      <c r="B21" s="300"/>
      <c r="C21" s="300"/>
      <c r="D21" s="301"/>
      <c r="E21" s="524"/>
      <c r="F21" s="525"/>
      <c r="G21" s="525"/>
      <c r="H21" s="525"/>
      <c r="I21" s="530"/>
      <c r="J21" s="461"/>
      <c r="K21" s="461"/>
      <c r="L21" s="461"/>
      <c r="M21" s="461"/>
      <c r="N21" s="461"/>
      <c r="O21" s="461"/>
      <c r="P21" s="461"/>
      <c r="Q21" s="461"/>
      <c r="R21" s="461"/>
      <c r="S21" s="461"/>
      <c r="T21" s="463"/>
      <c r="U21" s="461"/>
      <c r="V21" s="461"/>
      <c r="W21" s="461"/>
      <c r="X21" s="461"/>
      <c r="Y21" s="461"/>
      <c r="Z21" s="461"/>
      <c r="AA21" s="461"/>
      <c r="AB21" s="461"/>
      <c r="AC21" s="462"/>
      <c r="AD21" s="463"/>
      <c r="AE21" s="461"/>
      <c r="AF21" s="461"/>
      <c r="AG21" s="461"/>
      <c r="AH21" s="461"/>
      <c r="AI21" s="461"/>
      <c r="AJ21" s="461"/>
      <c r="AK21" s="461"/>
      <c r="AL21" s="461"/>
      <c r="AM21" s="462"/>
      <c r="AN21" s="463"/>
      <c r="AO21" s="461"/>
      <c r="AP21" s="461"/>
      <c r="AQ21" s="461"/>
      <c r="AR21" s="461"/>
      <c r="AS21" s="461"/>
      <c r="AT21" s="461"/>
      <c r="AU21" s="461"/>
      <c r="AV21" s="461"/>
      <c r="AW21" s="462"/>
      <c r="AX21" s="457"/>
      <c r="AY21" s="455"/>
      <c r="AZ21" s="455"/>
      <c r="BA21" s="455"/>
      <c r="BB21" s="455"/>
      <c r="BC21" s="455"/>
      <c r="BD21" s="455"/>
      <c r="BE21" s="455"/>
      <c r="BF21" s="455"/>
      <c r="BG21" s="456"/>
      <c r="BH21" s="56"/>
      <c r="BI21" s="489"/>
      <c r="BJ21" s="490"/>
      <c r="BK21" s="490"/>
      <c r="BL21" s="490"/>
      <c r="BM21" s="490"/>
      <c r="BN21" s="491"/>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row>
    <row r="22" spans="1:100" ht="15" customHeight="1" x14ac:dyDescent="0.35">
      <c r="A22" s="56"/>
      <c r="B22" s="300"/>
      <c r="C22" s="300"/>
      <c r="D22" s="301"/>
      <c r="E22" s="524"/>
      <c r="F22" s="525"/>
      <c r="G22" s="525"/>
      <c r="H22" s="525"/>
      <c r="I22" s="530"/>
      <c r="J22" s="461" t="str">
        <f>IF(AND('Mapa final'!$K$124="Muy Alta",'Mapa final'!$O$124="Leve"),CONCATENATE("R",'Mapa final'!$A$124),"")</f>
        <v/>
      </c>
      <c r="K22" s="461"/>
      <c r="L22" s="461" t="str">
        <f>IF(AND('Mapa final'!$K$127="Muy Alta",'Mapa final'!$O$127="Leve"),CONCATENATE("R",'Mapa final'!$A$127),"")</f>
        <v/>
      </c>
      <c r="M22" s="461"/>
      <c r="N22" s="461" t="str">
        <f>IF(AND('Mapa final'!$K$130="Muy Alta",'Mapa final'!$O$130="Leve"),CONCATENATE("R",'Mapa final'!$A$130),"")</f>
        <v/>
      </c>
      <c r="O22" s="461"/>
      <c r="P22" s="461" t="str">
        <f>IF(AND('Mapa final'!$K$133="Muy Alta",'Mapa final'!$O$133="Leve"),CONCATENATE("R",'Mapa final'!$A$133),"")</f>
        <v/>
      </c>
      <c r="Q22" s="461"/>
      <c r="R22" s="461" t="str">
        <f>IF(AND('Mapa final'!$K$136="Muy Alta",'Mapa final'!$O$136="Leve"),CONCATENATE("R",'Mapa final'!$A$136),"")</f>
        <v/>
      </c>
      <c r="S22" s="461"/>
      <c r="T22" s="463" t="str">
        <f>IF(AND('Mapa final'!$K$124="Muy Alta",'Mapa final'!$O$124="Menor"),CONCATENATE("R",'Mapa final'!$A$124),"")</f>
        <v/>
      </c>
      <c r="U22" s="461"/>
      <c r="V22" s="461" t="str">
        <f>IF(AND('Mapa final'!$K$127="Muy Alta",'Mapa final'!$O$127="Menor"),CONCATENATE("R",'Mapa final'!$A$127),"")</f>
        <v/>
      </c>
      <c r="W22" s="461"/>
      <c r="X22" s="461" t="str">
        <f>IF(AND('Mapa final'!$K$130="Muy Alta",'Mapa final'!$O$130="Menor"),CONCATENATE("R",'Mapa final'!$A$130),"")</f>
        <v/>
      </c>
      <c r="Y22" s="461"/>
      <c r="Z22" s="461" t="str">
        <f>IF(AND('Mapa final'!$K$133="Muy Alta",'Mapa final'!$O$133="Menor"),CONCATENATE("R",'Mapa final'!$A$133),"")</f>
        <v/>
      </c>
      <c r="AA22" s="461"/>
      <c r="AB22" s="461" t="str">
        <f>IF(AND('Mapa final'!$K$136="Muy Alta",'Mapa final'!$O$136="Menor"),CONCATENATE("R",'Mapa final'!$A$136),"")</f>
        <v/>
      </c>
      <c r="AC22" s="462"/>
      <c r="AD22" s="463" t="str">
        <f>IF(AND('Mapa final'!$K$124="Muy Alta",'Mapa final'!$O$124="Moderado"),CONCATENATE("R",'Mapa final'!$A$124),"")</f>
        <v/>
      </c>
      <c r="AE22" s="461"/>
      <c r="AF22" s="461" t="str">
        <f>IF(AND('Mapa final'!$K$127="Muy Alta",'Mapa final'!$O$127="Moderado"),CONCATENATE("R",'Mapa final'!$A$127),"")</f>
        <v/>
      </c>
      <c r="AG22" s="461"/>
      <c r="AH22" s="461" t="str">
        <f>IF(AND('Mapa final'!$K$130="Muy Alta",'Mapa final'!$O$130="Moderado"),CONCATENATE("R",'Mapa final'!$A$130),"")</f>
        <v/>
      </c>
      <c r="AI22" s="461"/>
      <c r="AJ22" s="461" t="str">
        <f>IF(AND('Mapa final'!$K$133="Muy Alta",'Mapa final'!$O$133="Moderado"),CONCATENATE("R",'Mapa final'!$A$133),"")</f>
        <v/>
      </c>
      <c r="AK22" s="461"/>
      <c r="AL22" s="461" t="str">
        <f>IF(AND('Mapa final'!$K$136="Muy Alta",'Mapa final'!$O$136="Moderado"),CONCATENATE("R",'Mapa final'!$A$136),"")</f>
        <v/>
      </c>
      <c r="AM22" s="462"/>
      <c r="AN22" s="463" t="str">
        <f>IF(AND('Mapa final'!$K$124="Muy Alta",'Mapa final'!$O$124="Mayor"),CONCATENATE("R",'Mapa final'!$A$124),"")</f>
        <v/>
      </c>
      <c r="AO22" s="461"/>
      <c r="AP22" s="461" t="str">
        <f>IF(AND('Mapa final'!$K$127="Muy Alta",'Mapa final'!$O$127="Mayor"),CONCATENATE("R",'Mapa final'!$A$127),"")</f>
        <v/>
      </c>
      <c r="AQ22" s="461"/>
      <c r="AR22" s="461" t="str">
        <f>IF(AND('Mapa final'!$K$130="Muy Alta",'Mapa final'!$O$130="Mayor"),CONCATENATE("R",'Mapa final'!$A$130),"")</f>
        <v/>
      </c>
      <c r="AS22" s="461"/>
      <c r="AT22" s="461" t="str">
        <f>IF(AND('Mapa final'!$K$133="Muy Alta",'Mapa final'!$O$133="Mayor"),CONCATENATE("R",'Mapa final'!$A$133),"")</f>
        <v/>
      </c>
      <c r="AU22" s="461"/>
      <c r="AV22" s="461" t="str">
        <f>IF(AND('Mapa final'!$K$136="Muy Alta",'Mapa final'!$O$136="Mayor"),CONCATENATE("R",'Mapa final'!$A$136),"")</f>
        <v/>
      </c>
      <c r="AW22" s="462"/>
      <c r="AX22" s="457" t="str">
        <f>IF(AND('Mapa final'!$K$124="Muy Alta",'Mapa final'!$O$124="Catastrófico"),CONCATENATE("R",'Mapa final'!$A$124),"")</f>
        <v/>
      </c>
      <c r="AY22" s="455"/>
      <c r="AZ22" s="455" t="str">
        <f>IF(AND('Mapa final'!$K$127="Muy Alta",'Mapa final'!$O$127="Catastrófico"),CONCATENATE("R",'Mapa final'!$A$127),"")</f>
        <v/>
      </c>
      <c r="BA22" s="455"/>
      <c r="BB22" s="455" t="str">
        <f>IF(AND('Mapa final'!$K$130="Muy Alta",'Mapa final'!$O$130="Catastrófico"),CONCATENATE("R",'Mapa final'!$A$130),"")</f>
        <v/>
      </c>
      <c r="BC22" s="455"/>
      <c r="BD22" s="455" t="str">
        <f>IF(AND('Mapa final'!$K$133="Muy Alta",'Mapa final'!$O$133="Catastrófico"),CONCATENATE("R",'Mapa final'!$A$133),"")</f>
        <v/>
      </c>
      <c r="BE22" s="455"/>
      <c r="BF22" s="455" t="str">
        <f>IF(AND('Mapa final'!$K$136="Muy Alta",'Mapa final'!$O$136="Catastrófico"),CONCATENATE("R",'Mapa final'!$A$136),"")</f>
        <v/>
      </c>
      <c r="BG22" s="456"/>
      <c r="BH22" s="56"/>
      <c r="BI22" s="489"/>
      <c r="BJ22" s="490"/>
      <c r="BK22" s="490"/>
      <c r="BL22" s="490"/>
      <c r="BM22" s="490"/>
      <c r="BN22" s="491"/>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row>
    <row r="23" spans="1:100" ht="15" customHeight="1" x14ac:dyDescent="0.35">
      <c r="A23" s="56"/>
      <c r="B23" s="300"/>
      <c r="C23" s="300"/>
      <c r="D23" s="301"/>
      <c r="E23" s="524"/>
      <c r="F23" s="525"/>
      <c r="G23" s="525"/>
      <c r="H23" s="525"/>
      <c r="I23" s="530"/>
      <c r="J23" s="461"/>
      <c r="K23" s="461"/>
      <c r="L23" s="461"/>
      <c r="M23" s="461"/>
      <c r="N23" s="461"/>
      <c r="O23" s="461"/>
      <c r="P23" s="461"/>
      <c r="Q23" s="461"/>
      <c r="R23" s="461"/>
      <c r="S23" s="461"/>
      <c r="T23" s="463"/>
      <c r="U23" s="461"/>
      <c r="V23" s="461"/>
      <c r="W23" s="461"/>
      <c r="X23" s="461"/>
      <c r="Y23" s="461"/>
      <c r="Z23" s="461"/>
      <c r="AA23" s="461"/>
      <c r="AB23" s="461"/>
      <c r="AC23" s="462"/>
      <c r="AD23" s="463"/>
      <c r="AE23" s="461"/>
      <c r="AF23" s="461"/>
      <c r="AG23" s="461"/>
      <c r="AH23" s="461"/>
      <c r="AI23" s="461"/>
      <c r="AJ23" s="461"/>
      <c r="AK23" s="461"/>
      <c r="AL23" s="461"/>
      <c r="AM23" s="462"/>
      <c r="AN23" s="463"/>
      <c r="AO23" s="461"/>
      <c r="AP23" s="461"/>
      <c r="AQ23" s="461"/>
      <c r="AR23" s="461"/>
      <c r="AS23" s="461"/>
      <c r="AT23" s="461"/>
      <c r="AU23" s="461"/>
      <c r="AV23" s="461"/>
      <c r="AW23" s="462"/>
      <c r="AX23" s="457"/>
      <c r="AY23" s="455"/>
      <c r="AZ23" s="455"/>
      <c r="BA23" s="455"/>
      <c r="BB23" s="455"/>
      <c r="BC23" s="455"/>
      <c r="BD23" s="455"/>
      <c r="BE23" s="455"/>
      <c r="BF23" s="455"/>
      <c r="BG23" s="456"/>
      <c r="BH23" s="56"/>
      <c r="BI23" s="489"/>
      <c r="BJ23" s="490"/>
      <c r="BK23" s="490"/>
      <c r="BL23" s="490"/>
      <c r="BM23" s="490"/>
      <c r="BN23" s="491"/>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row>
    <row r="24" spans="1:100" ht="15" customHeight="1" x14ac:dyDescent="0.35">
      <c r="A24" s="56"/>
      <c r="B24" s="300"/>
      <c r="C24" s="300"/>
      <c r="D24" s="301"/>
      <c r="E24" s="524"/>
      <c r="F24" s="525"/>
      <c r="G24" s="525"/>
      <c r="H24" s="525"/>
      <c r="I24" s="530"/>
      <c r="J24" s="461" t="str">
        <f>IF(AND('Mapa final'!$K$139="Muy Alta",'Mapa final'!$O$139="Leve"),CONCATENATE("R",'Mapa final'!$A$139),"")</f>
        <v/>
      </c>
      <c r="K24" s="461"/>
      <c r="L24" s="461" t="str">
        <f>IF(AND('Mapa final'!$K$142="Muy Alta",'Mapa final'!$O$142="Leve"),CONCATENATE("R",'Mapa final'!$A$142),"")</f>
        <v/>
      </c>
      <c r="M24" s="461"/>
      <c r="N24" s="461" t="str">
        <f>IF(AND('Mapa final'!$K$145="Muy Alta",'Mapa final'!$O$145="Leve"),CONCATENATE("R",'Mapa final'!$A$145),"")</f>
        <v/>
      </c>
      <c r="O24" s="461"/>
      <c r="P24" s="461" t="str">
        <f>IF(AND('Mapa final'!$K$148="Muy Alta",'Mapa final'!$O$148="Leve"),CONCATENATE("R",'Mapa final'!$A$148),"")</f>
        <v/>
      </c>
      <c r="Q24" s="461"/>
      <c r="R24" s="461" t="str">
        <f>IF(AND('Mapa final'!$K$151="Muy Alta",'Mapa final'!$O$151="Leve"),CONCATENATE("R",'Mapa final'!$A$151),"")</f>
        <v/>
      </c>
      <c r="S24" s="461"/>
      <c r="T24" s="463" t="str">
        <f>IF(AND('Mapa final'!$K$139="Muy Alta",'Mapa final'!$O$139="Menor"),CONCATENATE("R",'Mapa final'!$A$139),"")</f>
        <v/>
      </c>
      <c r="U24" s="461"/>
      <c r="V24" s="461" t="str">
        <f>IF(AND('Mapa final'!$K$142="Muy Alta",'Mapa final'!$O$142="Menor"),CONCATENATE("R",'Mapa final'!$A$142),"")</f>
        <v/>
      </c>
      <c r="W24" s="461"/>
      <c r="X24" s="461" t="str">
        <f>IF(AND('Mapa final'!$K$145="Muy Alta",'Mapa final'!$O$145="Menor"),CONCATENATE("R",'Mapa final'!$A$145),"")</f>
        <v/>
      </c>
      <c r="Y24" s="461"/>
      <c r="Z24" s="461" t="str">
        <f>IF(AND('Mapa final'!$K$148="Muy Alta",'Mapa final'!$O$148="Menor"),CONCATENATE("R",'Mapa final'!$A$148),"")</f>
        <v/>
      </c>
      <c r="AA24" s="461"/>
      <c r="AB24" s="461" t="str">
        <f>IF(AND('Mapa final'!$K$151="Muy Alta",'Mapa final'!$O$151="Menor"),CONCATENATE("R",'Mapa final'!$A$151),"")</f>
        <v/>
      </c>
      <c r="AC24" s="462"/>
      <c r="AD24" s="463" t="str">
        <f>IF(AND('Mapa final'!$K$139="Muy Alta",'Mapa final'!$O$139="Moderado"),CONCATENATE("R",'Mapa final'!$A$139),"")</f>
        <v/>
      </c>
      <c r="AE24" s="461"/>
      <c r="AF24" s="461" t="str">
        <f>IF(AND('Mapa final'!$K$142="Muy Alta",'Mapa final'!$O$142="Moderado"),CONCATENATE("R",'Mapa final'!$A$142),"")</f>
        <v/>
      </c>
      <c r="AG24" s="461"/>
      <c r="AH24" s="461" t="str">
        <f>IF(AND('Mapa final'!$K$145="Muy Alta",'Mapa final'!$O$145="Moderado"),CONCATENATE("R",'Mapa final'!$A$145),"")</f>
        <v/>
      </c>
      <c r="AI24" s="461"/>
      <c r="AJ24" s="461" t="str">
        <f>IF(AND('Mapa final'!$K$148="Muy Alta",'Mapa final'!$O$148="Moderado"),CONCATENATE("R",'Mapa final'!$A$148),"")</f>
        <v/>
      </c>
      <c r="AK24" s="461"/>
      <c r="AL24" s="461" t="str">
        <f>IF(AND('Mapa final'!$K$151="Muy Alta",'Mapa final'!$O$151="Moderado"),CONCATENATE("R",'Mapa final'!$A$151),"")</f>
        <v/>
      </c>
      <c r="AM24" s="462"/>
      <c r="AN24" s="463" t="str">
        <f>IF(AND('Mapa final'!$K$139="Muy Alta",'Mapa final'!$O$139="Mayor"),CONCATENATE("R",'Mapa final'!$A$139),"")</f>
        <v/>
      </c>
      <c r="AO24" s="461"/>
      <c r="AP24" s="461" t="str">
        <f>IF(AND('Mapa final'!$K$142="Muy Alta",'Mapa final'!$O$142="Mayor"),CONCATENATE("R",'Mapa final'!$A$142),"")</f>
        <v/>
      </c>
      <c r="AQ24" s="461"/>
      <c r="AR24" s="461" t="str">
        <f>IF(AND('Mapa final'!$K$145="Muy Alta",'Mapa final'!$O$145="Mayor"),CONCATENATE("R",'Mapa final'!$A$145),"")</f>
        <v/>
      </c>
      <c r="AS24" s="461"/>
      <c r="AT24" s="461" t="str">
        <f>IF(AND('Mapa final'!$K$148="Muy Alta",'Mapa final'!$O$148="Mayor"),CONCATENATE("R",'Mapa final'!$A$148),"")</f>
        <v/>
      </c>
      <c r="AU24" s="461"/>
      <c r="AV24" s="461" t="str">
        <f>IF(AND('Mapa final'!$K$151="Muy Alta",'Mapa final'!$O$151="Mayor"),CONCATENATE("R",'Mapa final'!$A$151),"")</f>
        <v/>
      </c>
      <c r="AW24" s="462"/>
      <c r="AX24" s="457" t="str">
        <f>IF(AND('Mapa final'!$K$139="Muy Alta",'Mapa final'!$O$139="Catastrófico"),CONCATENATE("R",'Mapa final'!$A$139),"")</f>
        <v/>
      </c>
      <c r="AY24" s="455"/>
      <c r="AZ24" s="455" t="str">
        <f>IF(AND('Mapa final'!$K$142="Muy Alta",'Mapa final'!$O$142="Catastrófico"),CONCATENATE("R",'Mapa final'!$A$142),"")</f>
        <v/>
      </c>
      <c r="BA24" s="455"/>
      <c r="BB24" s="455" t="str">
        <f>IF(AND('Mapa final'!$K$145="Muy Alta",'Mapa final'!$O$145="Catastrófico"),CONCATENATE("R",'Mapa final'!$A$145),"")</f>
        <v/>
      </c>
      <c r="BC24" s="455"/>
      <c r="BD24" s="455" t="str">
        <f>IF(AND('Mapa final'!$K$148="Muy Alta",'Mapa final'!$O$148="Catastrófico"),CONCATENATE("R",'Mapa final'!$A$148),"")</f>
        <v/>
      </c>
      <c r="BE24" s="455"/>
      <c r="BF24" s="455" t="str">
        <f>IF(AND('Mapa final'!$K$151="Muy Alta",'Mapa final'!$O$151="Catastrófico"),CONCATENATE("R",'Mapa final'!$A$151),"")</f>
        <v/>
      </c>
      <c r="BG24" s="456"/>
      <c r="BH24" s="56"/>
      <c r="BI24" s="489"/>
      <c r="BJ24" s="490"/>
      <c r="BK24" s="490"/>
      <c r="BL24" s="490"/>
      <c r="BM24" s="490"/>
      <c r="BN24" s="491"/>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row>
    <row r="25" spans="1:100" ht="15.75" customHeight="1" thickBot="1" x14ac:dyDescent="0.4">
      <c r="A25" s="56"/>
      <c r="B25" s="300"/>
      <c r="C25" s="300"/>
      <c r="D25" s="301"/>
      <c r="E25" s="527"/>
      <c r="F25" s="528"/>
      <c r="G25" s="528"/>
      <c r="H25" s="528"/>
      <c r="I25" s="531"/>
      <c r="J25" s="461"/>
      <c r="K25" s="461"/>
      <c r="L25" s="461"/>
      <c r="M25" s="461"/>
      <c r="N25" s="461"/>
      <c r="O25" s="461"/>
      <c r="P25" s="461"/>
      <c r="Q25" s="461"/>
      <c r="R25" s="461"/>
      <c r="S25" s="461"/>
      <c r="T25" s="464"/>
      <c r="U25" s="465"/>
      <c r="V25" s="465"/>
      <c r="W25" s="465"/>
      <c r="X25" s="465"/>
      <c r="Y25" s="465"/>
      <c r="Z25" s="465"/>
      <c r="AA25" s="465"/>
      <c r="AB25" s="465"/>
      <c r="AC25" s="466"/>
      <c r="AD25" s="464"/>
      <c r="AE25" s="465"/>
      <c r="AF25" s="465"/>
      <c r="AG25" s="465"/>
      <c r="AH25" s="465"/>
      <c r="AI25" s="465"/>
      <c r="AJ25" s="465"/>
      <c r="AK25" s="465"/>
      <c r="AL25" s="465"/>
      <c r="AM25" s="466"/>
      <c r="AN25" s="464"/>
      <c r="AO25" s="465"/>
      <c r="AP25" s="465"/>
      <c r="AQ25" s="465"/>
      <c r="AR25" s="465"/>
      <c r="AS25" s="465"/>
      <c r="AT25" s="465"/>
      <c r="AU25" s="465"/>
      <c r="AV25" s="465"/>
      <c r="AW25" s="466"/>
      <c r="AX25" s="477"/>
      <c r="AY25" s="476"/>
      <c r="AZ25" s="476"/>
      <c r="BA25" s="476"/>
      <c r="BB25" s="476"/>
      <c r="BC25" s="476"/>
      <c r="BD25" s="476"/>
      <c r="BE25" s="476"/>
      <c r="BF25" s="476"/>
      <c r="BG25" s="478"/>
      <c r="BH25" s="56"/>
      <c r="BI25" s="489"/>
      <c r="BJ25" s="490"/>
      <c r="BK25" s="490"/>
      <c r="BL25" s="490"/>
      <c r="BM25" s="490"/>
      <c r="BN25" s="491"/>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row>
    <row r="26" spans="1:100" ht="15" customHeight="1" x14ac:dyDescent="0.35">
      <c r="A26" s="56"/>
      <c r="B26" s="300"/>
      <c r="C26" s="300"/>
      <c r="D26" s="301"/>
      <c r="E26" s="522" t="s">
        <v>106</v>
      </c>
      <c r="F26" s="523"/>
      <c r="G26" s="523"/>
      <c r="H26" s="523"/>
      <c r="I26" s="523"/>
      <c r="J26" s="467" t="str">
        <f>IF(AND('Mapa final'!$K$7="Alta",'Mapa final'!$O$7="Leve"),CONCATENATE("R",'Mapa final'!$A$7),"")</f>
        <v/>
      </c>
      <c r="K26" s="468"/>
      <c r="L26" s="468" t="str">
        <f>IF(AND('Mapa final'!$K$10="Alta",'Mapa final'!$O$10="Leve"),CONCATENATE("R",'Mapa final'!$A$10),"")</f>
        <v/>
      </c>
      <c r="M26" s="468"/>
      <c r="N26" s="468" t="str">
        <f>IF(AND('Mapa final'!$K$13="Alta",'Mapa final'!$O$13="Leve"),CONCATENATE("R",'Mapa final'!$A$13),"")</f>
        <v/>
      </c>
      <c r="O26" s="468"/>
      <c r="P26" s="468" t="e">
        <f>IF(AND('Mapa final'!#REF!="Alta",'Mapa final'!#REF!="Leve"),CONCATENATE("R",'Mapa final'!#REF!),"")</f>
        <v>#REF!</v>
      </c>
      <c r="Q26" s="468"/>
      <c r="R26" s="468" t="str">
        <f>IF(AND('Mapa final'!$K$16="Alta",'Mapa final'!$O$16="Leve"),CONCATENATE("R",'Mapa final'!$A$16),"")</f>
        <v/>
      </c>
      <c r="S26" s="469"/>
      <c r="T26" s="467" t="str">
        <f>IF(AND('Mapa final'!$K$7="Alta",'Mapa final'!$O$7="Menor"),CONCATENATE("R",'Mapa final'!$A$7),"")</f>
        <v/>
      </c>
      <c r="U26" s="468"/>
      <c r="V26" s="468" t="str">
        <f>IF(AND('Mapa final'!$K$10="Alta",'Mapa final'!$O$10="Menor"),CONCATENATE("R",'Mapa final'!$A$10),"")</f>
        <v/>
      </c>
      <c r="W26" s="468"/>
      <c r="X26" s="468" t="str">
        <f>IF(AND('Mapa final'!$K$13="Alta",'Mapa final'!$O$13="Menor"),CONCATENATE("R",'Mapa final'!$A$13),"")</f>
        <v/>
      </c>
      <c r="Y26" s="468"/>
      <c r="Z26" s="468" t="e">
        <f>IF(AND('Mapa final'!#REF!="Alta",'Mapa final'!#REF!="Menor"),CONCATENATE("R",'Mapa final'!#REF!),"")</f>
        <v>#REF!</v>
      </c>
      <c r="AA26" s="468"/>
      <c r="AB26" s="468" t="str">
        <f>IF(AND('Mapa final'!$K$16="Alta",'Mapa final'!$O$16="Menor"),CONCATENATE("R",'Mapa final'!$A$16),"")</f>
        <v/>
      </c>
      <c r="AC26" s="469"/>
      <c r="AD26" s="473" t="str">
        <f>IF(AND('Mapa final'!$K$7="Alta",'Mapa final'!$O$7="Moderado"),CONCATENATE("R",'Mapa final'!$A$7),"")</f>
        <v/>
      </c>
      <c r="AE26" s="474"/>
      <c r="AF26" s="474" t="str">
        <f>IF(AND('Mapa final'!$K$10="Alta",'Mapa final'!$O$10="Moderado"),CONCATENATE("R",'Mapa final'!$A$10),"")</f>
        <v/>
      </c>
      <c r="AG26" s="474"/>
      <c r="AH26" s="474" t="str">
        <f>IF(AND('Mapa final'!$K$13="Alta",'Mapa final'!$O$13="Moderado"),CONCATENATE("R",'Mapa final'!$A$13),"")</f>
        <v>R3</v>
      </c>
      <c r="AI26" s="474"/>
      <c r="AJ26" s="474" t="e">
        <f>IF(AND('Mapa final'!#REF!="Alta",'Mapa final'!#REF!="Moderado"),CONCATENATE("R",'Mapa final'!#REF!),"")</f>
        <v>#REF!</v>
      </c>
      <c r="AK26" s="474"/>
      <c r="AL26" s="474" t="str">
        <f>IF(AND('Mapa final'!$K$16="Alta",'Mapa final'!$O$16="Moderado"),CONCATENATE("R",'Mapa final'!$A$16),"")</f>
        <v/>
      </c>
      <c r="AM26" s="475"/>
      <c r="AN26" s="473" t="str">
        <f>IF(AND('Mapa final'!$K$7="Alta",'Mapa final'!$O$7="Mayor"),CONCATENATE("R",'Mapa final'!$A$7),"")</f>
        <v/>
      </c>
      <c r="AO26" s="474"/>
      <c r="AP26" s="474" t="str">
        <f>IF(AND('Mapa final'!$K$10="Alta",'Mapa final'!$O$10="Mayor"),CONCATENATE("R",'Mapa final'!$A$10),"")</f>
        <v/>
      </c>
      <c r="AQ26" s="474"/>
      <c r="AR26" s="474" t="str">
        <f>IF(AND('Mapa final'!$K$13="Alta",'Mapa final'!$O$13="Mayor"),CONCATENATE("R",'Mapa final'!$A$13),"")</f>
        <v/>
      </c>
      <c r="AS26" s="474"/>
      <c r="AT26" s="474" t="e">
        <f>IF(AND('Mapa final'!#REF!="Alta",'Mapa final'!#REF!="Mayor"),CONCATENATE("R",'Mapa final'!#REF!),"")</f>
        <v>#REF!</v>
      </c>
      <c r="AU26" s="474"/>
      <c r="AV26" s="474" t="str">
        <f>IF(AND('Mapa final'!$K$16="Alta",'Mapa final'!$O$16="Mayor"),CONCATENATE("R",'Mapa final'!$A$16),"")</f>
        <v/>
      </c>
      <c r="AW26" s="475"/>
      <c r="AX26" s="480" t="str">
        <f>IF(AND('Mapa final'!$K$7="Alta",'Mapa final'!$O$7="Catastrófico"),CONCATENATE("R",'Mapa final'!$A$7),"")</f>
        <v/>
      </c>
      <c r="AY26" s="479"/>
      <c r="AZ26" s="479" t="str">
        <f>IF(AND('Mapa final'!$K$10="Alta",'Mapa final'!$O$10="Catastrófico"),CONCATENATE("R",'Mapa final'!$A$10),"")</f>
        <v/>
      </c>
      <c r="BA26" s="479"/>
      <c r="BB26" s="479" t="str">
        <f>IF(AND('Mapa final'!$K$13="Alta",'Mapa final'!$O$13="Catastrófico"),CONCATENATE("R",'Mapa final'!$A$13),"")</f>
        <v/>
      </c>
      <c r="BC26" s="479"/>
      <c r="BD26" s="479" t="e">
        <f>IF(AND('Mapa final'!#REF!="Alta",'Mapa final'!#REF!="Catastrófico"),CONCATENATE("R",'Mapa final'!#REF!),"")</f>
        <v>#REF!</v>
      </c>
      <c r="BE26" s="479"/>
      <c r="BF26" s="479" t="str">
        <f>IF(AND('Mapa final'!$K$16="Alta",'Mapa final'!$O$16="Catastrófico"),CONCATENATE("R",'Mapa final'!$A$16),"")</f>
        <v/>
      </c>
      <c r="BG26" s="536"/>
      <c r="BH26" s="56"/>
      <c r="BI26" s="489"/>
      <c r="BJ26" s="490"/>
      <c r="BK26" s="490"/>
      <c r="BL26" s="490"/>
      <c r="BM26" s="490"/>
      <c r="BN26" s="491"/>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row>
    <row r="27" spans="1:100" ht="15" customHeight="1" x14ac:dyDescent="0.35">
      <c r="A27" s="56"/>
      <c r="B27" s="300"/>
      <c r="C27" s="300"/>
      <c r="D27" s="301"/>
      <c r="E27" s="524"/>
      <c r="F27" s="525"/>
      <c r="G27" s="525"/>
      <c r="H27" s="525"/>
      <c r="I27" s="526"/>
      <c r="J27" s="460"/>
      <c r="K27" s="458"/>
      <c r="L27" s="458"/>
      <c r="M27" s="458"/>
      <c r="N27" s="458"/>
      <c r="O27" s="458"/>
      <c r="P27" s="458"/>
      <c r="Q27" s="458"/>
      <c r="R27" s="458"/>
      <c r="S27" s="459"/>
      <c r="T27" s="460"/>
      <c r="U27" s="458"/>
      <c r="V27" s="458"/>
      <c r="W27" s="458"/>
      <c r="X27" s="458"/>
      <c r="Y27" s="458"/>
      <c r="Z27" s="458"/>
      <c r="AA27" s="458"/>
      <c r="AB27" s="458"/>
      <c r="AC27" s="459"/>
      <c r="AD27" s="463"/>
      <c r="AE27" s="461"/>
      <c r="AF27" s="461"/>
      <c r="AG27" s="461"/>
      <c r="AH27" s="461"/>
      <c r="AI27" s="461"/>
      <c r="AJ27" s="461"/>
      <c r="AK27" s="461"/>
      <c r="AL27" s="461"/>
      <c r="AM27" s="462"/>
      <c r="AN27" s="463"/>
      <c r="AO27" s="461"/>
      <c r="AP27" s="461"/>
      <c r="AQ27" s="461"/>
      <c r="AR27" s="461"/>
      <c r="AS27" s="461"/>
      <c r="AT27" s="461"/>
      <c r="AU27" s="461"/>
      <c r="AV27" s="461"/>
      <c r="AW27" s="462"/>
      <c r="AX27" s="457"/>
      <c r="AY27" s="455"/>
      <c r="AZ27" s="455"/>
      <c r="BA27" s="455"/>
      <c r="BB27" s="455"/>
      <c r="BC27" s="455"/>
      <c r="BD27" s="455"/>
      <c r="BE27" s="455"/>
      <c r="BF27" s="455"/>
      <c r="BG27" s="456"/>
      <c r="BH27" s="56"/>
      <c r="BI27" s="489"/>
      <c r="BJ27" s="490"/>
      <c r="BK27" s="490"/>
      <c r="BL27" s="490"/>
      <c r="BM27" s="490"/>
      <c r="BN27" s="491"/>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row>
    <row r="28" spans="1:100" ht="15" customHeight="1" x14ac:dyDescent="0.35">
      <c r="A28" s="56"/>
      <c r="B28" s="300"/>
      <c r="C28" s="300"/>
      <c r="D28" s="301"/>
      <c r="E28" s="524"/>
      <c r="F28" s="525"/>
      <c r="G28" s="525"/>
      <c r="H28" s="525"/>
      <c r="I28" s="526"/>
      <c r="J28" s="460" t="str">
        <f>IF(AND('Mapa final'!$K$19="Alta",'Mapa final'!$O$19="Leve"),CONCATENATE("R",'Mapa final'!$A$19),"")</f>
        <v/>
      </c>
      <c r="K28" s="458"/>
      <c r="L28" s="458" t="str">
        <f>IF(AND('Mapa final'!$K$22="Alta",'Mapa final'!$O$22="Leve"),CONCATENATE("R",'Mapa final'!$A$22),"")</f>
        <v/>
      </c>
      <c r="M28" s="458"/>
      <c r="N28" s="458" t="str">
        <f>IF(AND('Mapa final'!$K$25="Alta",'Mapa final'!$O$25="Leve"),CONCATENATE("R",'Mapa final'!$A$25),"")</f>
        <v/>
      </c>
      <c r="O28" s="458"/>
      <c r="P28" s="458" t="str">
        <f>IF(AND('Mapa final'!$K$28="Alta",'Mapa final'!$O$28="Leve"),CONCATENATE("R",'Mapa final'!$A$28),"")</f>
        <v/>
      </c>
      <c r="Q28" s="458"/>
      <c r="R28" s="458" t="str">
        <f>IF(AND('Mapa final'!$K$31="Alta",'Mapa final'!$O$31="Leve"),CONCATENATE("R",'Mapa final'!$A$31),"")</f>
        <v/>
      </c>
      <c r="S28" s="459"/>
      <c r="T28" s="460" t="str">
        <f>IF(AND('Mapa final'!$K$19="Alta",'Mapa final'!$O$19="Menor"),CONCATENATE("R",'Mapa final'!$A$19),"")</f>
        <v/>
      </c>
      <c r="U28" s="458"/>
      <c r="V28" s="458" t="str">
        <f>IF(AND('Mapa final'!$K$22="Alta",'Mapa final'!$O$22="Menor"),CONCATENATE("R",'Mapa final'!$A$22),"")</f>
        <v/>
      </c>
      <c r="W28" s="458"/>
      <c r="X28" s="458" t="str">
        <f>IF(AND('Mapa final'!$K$25="Alta",'Mapa final'!$O$25="Menor"),CONCATENATE("R",'Mapa final'!$A$25),"")</f>
        <v/>
      </c>
      <c r="Y28" s="458"/>
      <c r="Z28" s="458" t="str">
        <f>IF(AND('Mapa final'!$K$28="Alta",'Mapa final'!$O$28="Menor"),CONCATENATE("R",'Mapa final'!$A$28),"")</f>
        <v/>
      </c>
      <c r="AA28" s="458"/>
      <c r="AB28" s="458" t="str">
        <f>IF(AND('Mapa final'!$K$31="Alta",'Mapa final'!$O$31="Menor"),CONCATENATE("R",'Mapa final'!$A$31),"")</f>
        <v/>
      </c>
      <c r="AC28" s="459"/>
      <c r="AD28" s="463" t="str">
        <f>IF(AND('Mapa final'!$K$19="Alta",'Mapa final'!$O$19="Moderado"),CONCATENATE("R",'Mapa final'!$A$19),"")</f>
        <v/>
      </c>
      <c r="AE28" s="461"/>
      <c r="AF28" s="461" t="str">
        <f>IF(AND('Mapa final'!$K$22="Alta",'Mapa final'!$O$22="Moderado"),CONCATENATE("R",'Mapa final'!$A$22),"")</f>
        <v/>
      </c>
      <c r="AG28" s="461"/>
      <c r="AH28" s="461" t="str">
        <f>IF(AND('Mapa final'!$K$25="Alta",'Mapa final'!$O$25="Moderado"),CONCATENATE("R",'Mapa final'!$A$25),"")</f>
        <v>R7</v>
      </c>
      <c r="AI28" s="461"/>
      <c r="AJ28" s="461" t="str">
        <f>IF(AND('Mapa final'!$K$28="Alta",'Mapa final'!$O$28="Moderado"),CONCATENATE("R",'Mapa final'!$A$28),"")</f>
        <v/>
      </c>
      <c r="AK28" s="461"/>
      <c r="AL28" s="461" t="str">
        <f>IF(AND('Mapa final'!$K$31="Alta",'Mapa final'!$O$31="Moderado"),CONCATENATE("R",'Mapa final'!$A$31),"")</f>
        <v>R9</v>
      </c>
      <c r="AM28" s="462"/>
      <c r="AN28" s="463" t="str">
        <f>IF(AND('Mapa final'!$K$19="Alta",'Mapa final'!$O$19="Mayor"),CONCATENATE("R",'Mapa final'!$A$19),"")</f>
        <v/>
      </c>
      <c r="AO28" s="461"/>
      <c r="AP28" s="461" t="str">
        <f>IF(AND('Mapa final'!$K$22="Alta",'Mapa final'!$O$22="Mayor"),CONCATENATE("R",'Mapa final'!$A$22),"")</f>
        <v/>
      </c>
      <c r="AQ28" s="461"/>
      <c r="AR28" s="461" t="str">
        <f>IF(AND('Mapa final'!$K$25="Alta",'Mapa final'!$O$25="Mayor"),CONCATENATE("R",'Mapa final'!$A$25),"")</f>
        <v/>
      </c>
      <c r="AS28" s="461"/>
      <c r="AT28" s="461" t="str">
        <f>IF(AND('Mapa final'!$K$28="Alta",'Mapa final'!$O$28="Mayor"),CONCATENATE("R",'Mapa final'!$A$28),"")</f>
        <v>R8</v>
      </c>
      <c r="AU28" s="461"/>
      <c r="AV28" s="461" t="str">
        <f>IF(AND('Mapa final'!$K$31="Alta",'Mapa final'!$O$31="Mayor"),CONCATENATE("R",'Mapa final'!$A$31),"")</f>
        <v/>
      </c>
      <c r="AW28" s="462"/>
      <c r="AX28" s="457" t="str">
        <f>IF(AND('Mapa final'!$K$19="Alta",'Mapa final'!$O$19="Catastrófico"),CONCATENATE("R",'Mapa final'!$A$19),"")</f>
        <v/>
      </c>
      <c r="AY28" s="455"/>
      <c r="AZ28" s="455" t="str">
        <f>IF(AND('Mapa final'!$K$22="Alta",'Mapa final'!$O$22="Catastrófico"),CONCATENATE("R",'Mapa final'!$A$22),"")</f>
        <v/>
      </c>
      <c r="BA28" s="455"/>
      <c r="BB28" s="455" t="str">
        <f>IF(AND('Mapa final'!$K$25="Alta",'Mapa final'!$O$25="Catastrófico"),CONCATENATE("R",'Mapa final'!$A$25),"")</f>
        <v/>
      </c>
      <c r="BC28" s="455"/>
      <c r="BD28" s="455" t="str">
        <f>IF(AND('Mapa final'!$K$28="Alta",'Mapa final'!$O$28="Catastrófico"),CONCATENATE("R",'Mapa final'!$A$28),"")</f>
        <v/>
      </c>
      <c r="BE28" s="455"/>
      <c r="BF28" s="455" t="str">
        <f>IF(AND('Mapa final'!$K$31="Alta",'Mapa final'!$O$31="Catastrófico"),CONCATENATE("R",'Mapa final'!$A$31),"")</f>
        <v/>
      </c>
      <c r="BG28" s="456"/>
      <c r="BH28" s="56"/>
      <c r="BI28" s="489"/>
      <c r="BJ28" s="490"/>
      <c r="BK28" s="490"/>
      <c r="BL28" s="490"/>
      <c r="BM28" s="490"/>
      <c r="BN28" s="491"/>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row>
    <row r="29" spans="1:100" ht="15" customHeight="1" x14ac:dyDescent="0.35">
      <c r="A29" s="56"/>
      <c r="B29" s="300"/>
      <c r="C29" s="300"/>
      <c r="D29" s="301"/>
      <c r="E29" s="524"/>
      <c r="F29" s="525"/>
      <c r="G29" s="525"/>
      <c r="H29" s="525"/>
      <c r="I29" s="526"/>
      <c r="J29" s="460"/>
      <c r="K29" s="458"/>
      <c r="L29" s="458"/>
      <c r="M29" s="458"/>
      <c r="N29" s="458"/>
      <c r="O29" s="458"/>
      <c r="P29" s="458"/>
      <c r="Q29" s="458"/>
      <c r="R29" s="458"/>
      <c r="S29" s="459"/>
      <c r="T29" s="460"/>
      <c r="U29" s="458"/>
      <c r="V29" s="458"/>
      <c r="W29" s="458"/>
      <c r="X29" s="458"/>
      <c r="Y29" s="458"/>
      <c r="Z29" s="458"/>
      <c r="AA29" s="458"/>
      <c r="AB29" s="458"/>
      <c r="AC29" s="459"/>
      <c r="AD29" s="463"/>
      <c r="AE29" s="461"/>
      <c r="AF29" s="461"/>
      <c r="AG29" s="461"/>
      <c r="AH29" s="461"/>
      <c r="AI29" s="461"/>
      <c r="AJ29" s="461"/>
      <c r="AK29" s="461"/>
      <c r="AL29" s="461"/>
      <c r="AM29" s="462"/>
      <c r="AN29" s="463"/>
      <c r="AO29" s="461"/>
      <c r="AP29" s="461"/>
      <c r="AQ29" s="461"/>
      <c r="AR29" s="461"/>
      <c r="AS29" s="461"/>
      <c r="AT29" s="461"/>
      <c r="AU29" s="461"/>
      <c r="AV29" s="461"/>
      <c r="AW29" s="462"/>
      <c r="AX29" s="457"/>
      <c r="AY29" s="455"/>
      <c r="AZ29" s="455"/>
      <c r="BA29" s="455"/>
      <c r="BB29" s="455"/>
      <c r="BC29" s="455"/>
      <c r="BD29" s="455"/>
      <c r="BE29" s="455"/>
      <c r="BF29" s="455"/>
      <c r="BG29" s="456"/>
      <c r="BH29" s="56"/>
      <c r="BI29" s="489"/>
      <c r="BJ29" s="490"/>
      <c r="BK29" s="490"/>
      <c r="BL29" s="490"/>
      <c r="BM29" s="490"/>
      <c r="BN29" s="491"/>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row>
    <row r="30" spans="1:100" ht="15" customHeight="1" x14ac:dyDescent="0.35">
      <c r="A30" s="56"/>
      <c r="B30" s="300"/>
      <c r="C30" s="300"/>
      <c r="D30" s="301"/>
      <c r="E30" s="524"/>
      <c r="F30" s="525"/>
      <c r="G30" s="525"/>
      <c r="H30" s="525"/>
      <c r="I30" s="526"/>
      <c r="J30" s="460" t="str">
        <f>IF(AND('Mapa final'!$K$34="Alta",'Mapa final'!$O$34="Leve"),CONCATENATE("R",'Mapa final'!$A$34),"")</f>
        <v/>
      </c>
      <c r="K30" s="458"/>
      <c r="L30" s="458" t="str">
        <f>IF(AND('Mapa final'!$K$37="Alta",'Mapa final'!$O$37="Leve"),CONCATENATE("R",'Mapa final'!$A$37),"")</f>
        <v/>
      </c>
      <c r="M30" s="458"/>
      <c r="N30" s="458" t="str">
        <f>IF(AND('Mapa final'!$K$40="Alta",'Mapa final'!$O$40="Leve"),CONCATENATE("R",'Mapa final'!$A$40),"")</f>
        <v/>
      </c>
      <c r="O30" s="458"/>
      <c r="P30" s="458" t="str">
        <f>IF(AND('Mapa final'!$K$43="Alta",'Mapa final'!$O$43="Leve"),CONCATENATE("R",'Mapa final'!$A$43),"")</f>
        <v/>
      </c>
      <c r="Q30" s="458"/>
      <c r="R30" s="458" t="str">
        <f>IF(AND('Mapa final'!$K$46="Alta",'Mapa final'!$O$46="Leve"),CONCATENATE("R",'Mapa final'!$A$46),"")</f>
        <v/>
      </c>
      <c r="S30" s="459"/>
      <c r="T30" s="460" t="str">
        <f>IF(AND('Mapa final'!$K$34="Alta",'Mapa final'!$O$34="Menor"),CONCATENATE("R",'Mapa final'!$A$34),"")</f>
        <v/>
      </c>
      <c r="U30" s="458"/>
      <c r="V30" s="458" t="str">
        <f>IF(AND('Mapa final'!$K$37="Alta",'Mapa final'!$O$37="Menor"),CONCATENATE("R",'Mapa final'!$A$37),"")</f>
        <v/>
      </c>
      <c r="W30" s="458"/>
      <c r="X30" s="458" t="str">
        <f>IF(AND('Mapa final'!$K$40="Alta",'Mapa final'!$O$40="Menor"),CONCATENATE("R",'Mapa final'!$A$40),"")</f>
        <v/>
      </c>
      <c r="Y30" s="458"/>
      <c r="Z30" s="458" t="str">
        <f>IF(AND('Mapa final'!$K$43="Alta",'Mapa final'!$O$43="Menor"),CONCATENATE("R",'Mapa final'!$A$43),"")</f>
        <v/>
      </c>
      <c r="AA30" s="458"/>
      <c r="AB30" s="458" t="str">
        <f>IF(AND('Mapa final'!$K$46="Alta",'Mapa final'!$O$46="Menor"),CONCATENATE("R",'Mapa final'!$A$46),"")</f>
        <v/>
      </c>
      <c r="AC30" s="459"/>
      <c r="AD30" s="463" t="str">
        <f>IF(AND('Mapa final'!$K$34="Alta",'Mapa final'!$O$34="Moderado"),CONCATENATE("R",'Mapa final'!$A$34),"")</f>
        <v/>
      </c>
      <c r="AE30" s="461"/>
      <c r="AF30" s="461" t="str">
        <f>IF(AND('Mapa final'!$K$37="Alta",'Mapa final'!$O$37="Moderado"),CONCATENATE("R",'Mapa final'!$A$37),"")</f>
        <v/>
      </c>
      <c r="AG30" s="461"/>
      <c r="AH30" s="461" t="str">
        <f>IF(AND('Mapa final'!$K$40="Alta",'Mapa final'!$O$40="Moderado"),CONCATENATE("R",'Mapa final'!$A$40),"")</f>
        <v/>
      </c>
      <c r="AI30" s="461"/>
      <c r="AJ30" s="461" t="str">
        <f>IF(AND('Mapa final'!$K$43="Alta",'Mapa final'!$O$43="Moderado"),CONCATENATE("R",'Mapa final'!$A$43),"")</f>
        <v/>
      </c>
      <c r="AK30" s="461"/>
      <c r="AL30" s="461" t="str">
        <f>IF(AND('Mapa final'!$K$46="Alta",'Mapa final'!$O$46="Moderado"),CONCATENATE("R",'Mapa final'!$A$46),"")</f>
        <v>R14</v>
      </c>
      <c r="AM30" s="462"/>
      <c r="AN30" s="463" t="str">
        <f>IF(AND('Mapa final'!$K$34="Alta",'Mapa final'!$O$34="Mayor"),CONCATENATE("R",'Mapa final'!$A$34),"")</f>
        <v/>
      </c>
      <c r="AO30" s="461"/>
      <c r="AP30" s="461" t="str">
        <f>IF(AND('Mapa final'!$K$37="Alta",'Mapa final'!$O$37="Mayor"),CONCATENATE("R",'Mapa final'!$A$37),"")</f>
        <v/>
      </c>
      <c r="AQ30" s="461"/>
      <c r="AR30" s="461" t="str">
        <f>IF(AND('Mapa final'!$K$40="Alta",'Mapa final'!$O$40="Mayor"),CONCATENATE("R",'Mapa final'!$A$40),"")</f>
        <v/>
      </c>
      <c r="AS30" s="461"/>
      <c r="AT30" s="461" t="str">
        <f>IF(AND('Mapa final'!$K$43="Alta",'Mapa final'!$O$43="Mayor"),CONCATENATE("R",'Mapa final'!$A$43),"")</f>
        <v/>
      </c>
      <c r="AU30" s="461"/>
      <c r="AV30" s="461" t="str">
        <f>IF(AND('Mapa final'!$K$46="Alta",'Mapa final'!$O$46="Mayor"),CONCATENATE("R",'Mapa final'!$A$46),"")</f>
        <v/>
      </c>
      <c r="AW30" s="462"/>
      <c r="AX30" s="457" t="str">
        <f>IF(AND('Mapa final'!$K$34="Alta",'Mapa final'!$O$34="Catastrófico"),CONCATENATE("R",'Mapa final'!$A$34),"")</f>
        <v/>
      </c>
      <c r="AY30" s="455"/>
      <c r="AZ30" s="455" t="str">
        <f>IF(AND('Mapa final'!$K$37="Alta",'Mapa final'!$O$37="Catastrófico"),CONCATENATE("R",'Mapa final'!$A$37),"")</f>
        <v/>
      </c>
      <c r="BA30" s="455"/>
      <c r="BB30" s="455" t="str">
        <f>IF(AND('Mapa final'!$K$40="Alta",'Mapa final'!$O$40="Catastrófico"),CONCATENATE("R",'Mapa final'!$A$40),"")</f>
        <v/>
      </c>
      <c r="BC30" s="455"/>
      <c r="BD30" s="455" t="str">
        <f>IF(AND('Mapa final'!$K$43="Alta",'Mapa final'!$O$43="Catastrófico"),CONCATENATE("R",'Mapa final'!$A$43),"")</f>
        <v/>
      </c>
      <c r="BE30" s="455"/>
      <c r="BF30" s="455" t="str">
        <f>IF(AND('Mapa final'!$K$46="Alta",'Mapa final'!$O$46="Catastrófico"),CONCATENATE("R",'Mapa final'!$A$46),"")</f>
        <v/>
      </c>
      <c r="BG30" s="456"/>
      <c r="BH30" s="56"/>
      <c r="BI30" s="489"/>
      <c r="BJ30" s="490"/>
      <c r="BK30" s="490"/>
      <c r="BL30" s="490"/>
      <c r="BM30" s="490"/>
      <c r="BN30" s="491"/>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row>
    <row r="31" spans="1:100" ht="15" customHeight="1" x14ac:dyDescent="0.35">
      <c r="A31" s="56"/>
      <c r="B31" s="300"/>
      <c r="C31" s="300"/>
      <c r="D31" s="301"/>
      <c r="E31" s="524"/>
      <c r="F31" s="525"/>
      <c r="G31" s="525"/>
      <c r="H31" s="525"/>
      <c r="I31" s="526"/>
      <c r="J31" s="460"/>
      <c r="K31" s="458"/>
      <c r="L31" s="458"/>
      <c r="M31" s="458"/>
      <c r="N31" s="458"/>
      <c r="O31" s="458"/>
      <c r="P31" s="458"/>
      <c r="Q31" s="458"/>
      <c r="R31" s="458"/>
      <c r="S31" s="459"/>
      <c r="T31" s="460"/>
      <c r="U31" s="458"/>
      <c r="V31" s="458"/>
      <c r="W31" s="458"/>
      <c r="X31" s="458"/>
      <c r="Y31" s="458"/>
      <c r="Z31" s="458"/>
      <c r="AA31" s="458"/>
      <c r="AB31" s="458"/>
      <c r="AC31" s="459"/>
      <c r="AD31" s="463"/>
      <c r="AE31" s="461"/>
      <c r="AF31" s="461"/>
      <c r="AG31" s="461"/>
      <c r="AH31" s="461"/>
      <c r="AI31" s="461"/>
      <c r="AJ31" s="461"/>
      <c r="AK31" s="461"/>
      <c r="AL31" s="461"/>
      <c r="AM31" s="462"/>
      <c r="AN31" s="463"/>
      <c r="AO31" s="461"/>
      <c r="AP31" s="461"/>
      <c r="AQ31" s="461"/>
      <c r="AR31" s="461"/>
      <c r="AS31" s="461"/>
      <c r="AT31" s="461"/>
      <c r="AU31" s="461"/>
      <c r="AV31" s="461"/>
      <c r="AW31" s="462"/>
      <c r="AX31" s="457"/>
      <c r="AY31" s="455"/>
      <c r="AZ31" s="455"/>
      <c r="BA31" s="455"/>
      <c r="BB31" s="455"/>
      <c r="BC31" s="455"/>
      <c r="BD31" s="455"/>
      <c r="BE31" s="455"/>
      <c r="BF31" s="455"/>
      <c r="BG31" s="456"/>
      <c r="BH31" s="56"/>
      <c r="BI31" s="489"/>
      <c r="BJ31" s="490"/>
      <c r="BK31" s="490"/>
      <c r="BL31" s="490"/>
      <c r="BM31" s="490"/>
      <c r="BN31" s="491"/>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row>
    <row r="32" spans="1:100" ht="15" customHeight="1" x14ac:dyDescent="0.35">
      <c r="A32" s="56"/>
      <c r="B32" s="300"/>
      <c r="C32" s="300"/>
      <c r="D32" s="301"/>
      <c r="E32" s="524"/>
      <c r="F32" s="525"/>
      <c r="G32" s="525"/>
      <c r="H32" s="525"/>
      <c r="I32" s="526"/>
      <c r="J32" s="460" t="str">
        <f>IF(AND('Mapa final'!$K$49="Alta",'Mapa final'!$O$49="Leve"),CONCATENATE("R",'Mapa final'!$A$49),"")</f>
        <v/>
      </c>
      <c r="K32" s="458"/>
      <c r="L32" s="458" t="str">
        <f>IF(AND('Mapa final'!$K$52="Alta",'Mapa final'!$O$52="Leve"),CONCATENATE("R",'Mapa final'!$A$52),"")</f>
        <v/>
      </c>
      <c r="M32" s="458"/>
      <c r="N32" s="458" t="str">
        <f>IF(AND('Mapa final'!$K$55="Alta",'Mapa final'!$O$55="Leve"),CONCATENATE("R",'Mapa final'!$A$55),"")</f>
        <v/>
      </c>
      <c r="O32" s="458"/>
      <c r="P32" s="458" t="str">
        <f>IF(AND('Mapa final'!$K$58="Alta",'Mapa final'!$O$58="Leve"),CONCATENATE("R",'Mapa final'!$A$58),"")</f>
        <v/>
      </c>
      <c r="Q32" s="458"/>
      <c r="R32" s="458" t="str">
        <f>IF(AND('Mapa final'!$K$61="Alta",'Mapa final'!$O$61="Leve"),CONCATENATE("R",'Mapa final'!$A$61),"")</f>
        <v/>
      </c>
      <c r="S32" s="459"/>
      <c r="T32" s="460" t="str">
        <f>IF(AND('Mapa final'!$K$49="Alta",'Mapa final'!$O$49="Menor"),CONCATENATE("R",'Mapa final'!$A$49),"")</f>
        <v/>
      </c>
      <c r="U32" s="458"/>
      <c r="V32" s="458" t="str">
        <f>IF(AND('Mapa final'!$K$52="Alta",'Mapa final'!$O$52="Menor"),CONCATENATE("R",'Mapa final'!$A$52),"")</f>
        <v/>
      </c>
      <c r="W32" s="458"/>
      <c r="X32" s="458" t="str">
        <f>IF(AND('Mapa final'!$K$55="Alta",'Mapa final'!$O$55="Menor"),CONCATENATE("R",'Mapa final'!$A$55),"")</f>
        <v/>
      </c>
      <c r="Y32" s="458"/>
      <c r="Z32" s="458" t="str">
        <f>IF(AND('Mapa final'!$K$58="Alta",'Mapa final'!$O$58="Menor"),CONCATENATE("R",'Mapa final'!$A$58),"")</f>
        <v/>
      </c>
      <c r="AA32" s="458"/>
      <c r="AB32" s="458" t="str">
        <f>IF(AND('Mapa final'!$K$61="Alta",'Mapa final'!$O$61="Menor"),CONCATENATE("R",'Mapa final'!$A$61),"")</f>
        <v/>
      </c>
      <c r="AC32" s="459"/>
      <c r="AD32" s="463" t="str">
        <f>IF(AND('Mapa final'!$K$49="Alta",'Mapa final'!$O$49="Moderado"),CONCATENATE("R",'Mapa final'!$A$49),"")</f>
        <v/>
      </c>
      <c r="AE32" s="461"/>
      <c r="AF32" s="461" t="str">
        <f>IF(AND('Mapa final'!$K$52="Alta",'Mapa final'!$O$52="Moderado"),CONCATENATE("R",'Mapa final'!$A$52),"")</f>
        <v/>
      </c>
      <c r="AG32" s="461"/>
      <c r="AH32" s="461" t="str">
        <f>IF(AND('Mapa final'!$K$55="Alta",'Mapa final'!$O$55="Moderado"),CONCATENATE("R",'Mapa final'!$A$55),"")</f>
        <v/>
      </c>
      <c r="AI32" s="461"/>
      <c r="AJ32" s="461" t="str">
        <f>IF(AND('Mapa final'!$K$58="Alta",'Mapa final'!$O$58="Moderado"),CONCATENATE("R",'Mapa final'!$A$58),"")</f>
        <v/>
      </c>
      <c r="AK32" s="461"/>
      <c r="AL32" s="461" t="str">
        <f>IF(AND('Mapa final'!$K$61="Alta",'Mapa final'!$O$61="Moderado"),CONCATENATE("R",'Mapa final'!$A$61),"")</f>
        <v/>
      </c>
      <c r="AM32" s="462"/>
      <c r="AN32" s="463" t="str">
        <f>IF(AND('Mapa final'!$K$49="Alta",'Mapa final'!$O$49="Mayor"),CONCATENATE("R",'Mapa final'!$A$49),"")</f>
        <v/>
      </c>
      <c r="AO32" s="461"/>
      <c r="AP32" s="461" t="str">
        <f>IF(AND('Mapa final'!$K$52="Alta",'Mapa final'!$O$52="Mayor"),CONCATENATE("R",'Mapa final'!$A$52),"")</f>
        <v/>
      </c>
      <c r="AQ32" s="461"/>
      <c r="AR32" s="461" t="str">
        <f>IF(AND('Mapa final'!$K$55="Alta",'Mapa final'!$O$55="Mayor"),CONCATENATE("R",'Mapa final'!$A$55),"")</f>
        <v/>
      </c>
      <c r="AS32" s="461"/>
      <c r="AT32" s="461" t="str">
        <f>IF(AND('Mapa final'!$K$58="Alta",'Mapa final'!$O$58="Mayor"),CONCATENATE("R",'Mapa final'!$A$58),"")</f>
        <v/>
      </c>
      <c r="AU32" s="461"/>
      <c r="AV32" s="461" t="str">
        <f>IF(AND('Mapa final'!$K$61="Alta",'Mapa final'!$O$61="Mayor"),CONCATENATE("R",'Mapa final'!$A$61),"")</f>
        <v/>
      </c>
      <c r="AW32" s="462"/>
      <c r="AX32" s="457" t="str">
        <f>IF(AND('Mapa final'!$K$49="Alta",'Mapa final'!$O$49="Catastrófico"),CONCATENATE("R",'Mapa final'!$A$49),"")</f>
        <v/>
      </c>
      <c r="AY32" s="455"/>
      <c r="AZ32" s="455" t="str">
        <f>IF(AND('Mapa final'!$K$52="Alta",'Mapa final'!$O$52="Catastrófico"),CONCATENATE("R",'Mapa final'!$A$52),"")</f>
        <v/>
      </c>
      <c r="BA32" s="455"/>
      <c r="BB32" s="455" t="str">
        <f>IF(AND('Mapa final'!$K$55="Alta",'Mapa final'!$O$55="Catastrófico"),CONCATENATE("R",'Mapa final'!$A$55),"")</f>
        <v/>
      </c>
      <c r="BC32" s="455"/>
      <c r="BD32" s="455" t="str">
        <f>IF(AND('Mapa final'!$K$58="Alta",'Mapa final'!$O$58="Catastrófico"),CONCATENATE("R",'Mapa final'!$A$58),"")</f>
        <v/>
      </c>
      <c r="BE32" s="455"/>
      <c r="BF32" s="455" t="str">
        <f>IF(AND('Mapa final'!$K$61="Alta",'Mapa final'!$O$61="Catastrófico"),CONCATENATE("R",'Mapa final'!$A$61),"")</f>
        <v/>
      </c>
      <c r="BG32" s="456"/>
      <c r="BH32" s="56"/>
      <c r="BI32" s="489"/>
      <c r="BJ32" s="490"/>
      <c r="BK32" s="490"/>
      <c r="BL32" s="490"/>
      <c r="BM32" s="490"/>
      <c r="BN32" s="491"/>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row>
    <row r="33" spans="1:100" ht="15" customHeight="1" thickBot="1" x14ac:dyDescent="0.4">
      <c r="A33" s="56"/>
      <c r="B33" s="300"/>
      <c r="C33" s="300"/>
      <c r="D33" s="301"/>
      <c r="E33" s="524"/>
      <c r="F33" s="525"/>
      <c r="G33" s="525"/>
      <c r="H33" s="525"/>
      <c r="I33" s="526"/>
      <c r="J33" s="460"/>
      <c r="K33" s="458"/>
      <c r="L33" s="458"/>
      <c r="M33" s="458"/>
      <c r="N33" s="458"/>
      <c r="O33" s="458"/>
      <c r="P33" s="458"/>
      <c r="Q33" s="458"/>
      <c r="R33" s="458"/>
      <c r="S33" s="459"/>
      <c r="T33" s="460"/>
      <c r="U33" s="458"/>
      <c r="V33" s="458"/>
      <c r="W33" s="458"/>
      <c r="X33" s="458"/>
      <c r="Y33" s="458"/>
      <c r="Z33" s="458"/>
      <c r="AA33" s="458"/>
      <c r="AB33" s="458"/>
      <c r="AC33" s="459"/>
      <c r="AD33" s="463"/>
      <c r="AE33" s="461"/>
      <c r="AF33" s="461"/>
      <c r="AG33" s="461"/>
      <c r="AH33" s="461"/>
      <c r="AI33" s="461"/>
      <c r="AJ33" s="461"/>
      <c r="AK33" s="461"/>
      <c r="AL33" s="461"/>
      <c r="AM33" s="462"/>
      <c r="AN33" s="463"/>
      <c r="AO33" s="461"/>
      <c r="AP33" s="461"/>
      <c r="AQ33" s="461"/>
      <c r="AR33" s="461"/>
      <c r="AS33" s="461"/>
      <c r="AT33" s="461"/>
      <c r="AU33" s="461"/>
      <c r="AV33" s="461"/>
      <c r="AW33" s="462"/>
      <c r="AX33" s="457"/>
      <c r="AY33" s="455"/>
      <c r="AZ33" s="455"/>
      <c r="BA33" s="455"/>
      <c r="BB33" s="455"/>
      <c r="BC33" s="455"/>
      <c r="BD33" s="455"/>
      <c r="BE33" s="455"/>
      <c r="BF33" s="455"/>
      <c r="BG33" s="456"/>
      <c r="BH33" s="56"/>
      <c r="BI33" s="492"/>
      <c r="BJ33" s="493"/>
      <c r="BK33" s="493"/>
      <c r="BL33" s="493"/>
      <c r="BM33" s="493"/>
      <c r="BN33" s="494"/>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row>
    <row r="34" spans="1:100" ht="15" customHeight="1" x14ac:dyDescent="0.35">
      <c r="A34" s="56"/>
      <c r="B34" s="300"/>
      <c r="C34" s="300"/>
      <c r="D34" s="301"/>
      <c r="E34" s="524"/>
      <c r="F34" s="525"/>
      <c r="G34" s="525"/>
      <c r="H34" s="525"/>
      <c r="I34" s="526"/>
      <c r="J34" s="460" t="str">
        <f>IF(AND('Mapa final'!$K$64="Alta",'Mapa final'!$O$64="Leve"),CONCATENATE("R",'Mapa final'!$A$64),"")</f>
        <v/>
      </c>
      <c r="K34" s="458"/>
      <c r="L34" s="458" t="str">
        <f>IF(AND('Mapa final'!$K$67="Alta",'Mapa final'!$O$67="Leve"),CONCATENATE("R",'Mapa final'!$A$67),"")</f>
        <v/>
      </c>
      <c r="M34" s="458"/>
      <c r="N34" s="458" t="str">
        <f>IF(AND('Mapa final'!$K$73="Alta",'Mapa final'!$O$73="Leve"),CONCATENATE("R",'Mapa final'!$A$73),"")</f>
        <v/>
      </c>
      <c r="O34" s="458"/>
      <c r="P34" s="458" t="str">
        <f>IF(AND('Mapa final'!$K$76="Alta",'Mapa final'!$O$76="Leve"),CONCATENATE("R",'Mapa final'!$A$76),"")</f>
        <v/>
      </c>
      <c r="Q34" s="458"/>
      <c r="R34" s="458" t="str">
        <f>IF(AND('Mapa final'!$K$79="Alta",'Mapa final'!$O$79="Leve"),CONCATENATE("R",'Mapa final'!$A$79),"")</f>
        <v/>
      </c>
      <c r="S34" s="459"/>
      <c r="T34" s="460" t="str">
        <f>IF(AND('Mapa final'!$K$64="Alta",'Mapa final'!$O$64="Menor"),CONCATENATE("R",'Mapa final'!$A$64),"")</f>
        <v/>
      </c>
      <c r="U34" s="458"/>
      <c r="V34" s="458" t="str">
        <f>IF(AND('Mapa final'!$K$67="Alta",'Mapa final'!$O$67="Menor"),CONCATENATE("R",'Mapa final'!$A$67),"")</f>
        <v/>
      </c>
      <c r="W34" s="458"/>
      <c r="X34" s="458" t="str">
        <f>IF(AND('Mapa final'!$K$73="Alta",'Mapa final'!$O$73="Menor"),CONCATENATE("R",'Mapa final'!$A$73),"")</f>
        <v/>
      </c>
      <c r="Y34" s="458"/>
      <c r="Z34" s="458" t="str">
        <f>IF(AND('Mapa final'!$K$76="Alta",'Mapa final'!$O$76="Menor"),CONCATENATE("R",'Mapa final'!$A$76),"")</f>
        <v/>
      </c>
      <c r="AA34" s="458"/>
      <c r="AB34" s="458" t="str">
        <f>IF(AND('Mapa final'!$K$79="Alta",'Mapa final'!$O$79="Menor"),CONCATENATE("R",'Mapa final'!$A$79),"")</f>
        <v/>
      </c>
      <c r="AC34" s="459"/>
      <c r="AD34" s="463" t="str">
        <f>IF(AND('Mapa final'!$K$64="Alta",'Mapa final'!$O$64="Moderado"),CONCATENATE("R",'Mapa final'!$A$64),"")</f>
        <v/>
      </c>
      <c r="AE34" s="461"/>
      <c r="AF34" s="461" t="str">
        <f>IF(AND('Mapa final'!$K$67="Alta",'Mapa final'!$O$67="Moderado"),CONCATENATE("R",'Mapa final'!$A$67),"")</f>
        <v/>
      </c>
      <c r="AG34" s="461"/>
      <c r="AH34" s="461" t="str">
        <f>IF(AND('Mapa final'!$K$73="Alta",'Mapa final'!$O$73="Moderado"),CONCATENATE("R",'Mapa final'!$A$73),"")</f>
        <v/>
      </c>
      <c r="AI34" s="461"/>
      <c r="AJ34" s="461" t="str">
        <f>IF(AND('Mapa final'!$K$76="Alta",'Mapa final'!$O$76="Moderado"),CONCATENATE("R",'Mapa final'!$A$76),"")</f>
        <v/>
      </c>
      <c r="AK34" s="461"/>
      <c r="AL34" s="461" t="str">
        <f>IF(AND('Mapa final'!$K$79="Alta",'Mapa final'!$O$79="Moderado"),CONCATENATE("R",'Mapa final'!$A$79),"")</f>
        <v/>
      </c>
      <c r="AM34" s="462"/>
      <c r="AN34" s="463" t="str">
        <f>IF(AND('Mapa final'!$K$64="Alta",'Mapa final'!$O$64="Mayor"),CONCATENATE("R",'Mapa final'!$A$64),"")</f>
        <v/>
      </c>
      <c r="AO34" s="461"/>
      <c r="AP34" s="461" t="str">
        <f>IF(AND('Mapa final'!$K$67="Alta",'Mapa final'!$O$67="Mayor"),CONCATENATE("R",'Mapa final'!$A$67),"")</f>
        <v/>
      </c>
      <c r="AQ34" s="461"/>
      <c r="AR34" s="461" t="str">
        <f>IF(AND('Mapa final'!$K$73="Alta",'Mapa final'!$O$73="Mayor"),CONCATENATE("R",'Mapa final'!$A$73),"")</f>
        <v/>
      </c>
      <c r="AS34" s="461"/>
      <c r="AT34" s="461" t="str">
        <f>IF(AND('Mapa final'!$K$76="Alta",'Mapa final'!$O$76="Mayor"),CONCATENATE("R",'Mapa final'!$A$76),"")</f>
        <v/>
      </c>
      <c r="AU34" s="461"/>
      <c r="AV34" s="461" t="str">
        <f>IF(AND('Mapa final'!$K$79="Alta",'Mapa final'!$O$79="Mayor"),CONCATENATE("R",'Mapa final'!$A$79),"")</f>
        <v/>
      </c>
      <c r="AW34" s="462"/>
      <c r="AX34" s="457" t="str">
        <f>IF(AND('Mapa final'!$K$64="Alta",'Mapa final'!$O$64="Catastrófico"),CONCATENATE("R",'Mapa final'!$A$64),"")</f>
        <v/>
      </c>
      <c r="AY34" s="455"/>
      <c r="AZ34" s="455" t="str">
        <f>IF(AND('Mapa final'!$K$67="Alta",'Mapa final'!$O$67="Catastrófico"),CONCATENATE("R",'Mapa final'!$A$67),"")</f>
        <v/>
      </c>
      <c r="BA34" s="455"/>
      <c r="BB34" s="455" t="str">
        <f>IF(AND('Mapa final'!$K$73="Alta",'Mapa final'!$O$73="Catastrófico"),CONCATENATE("R",'Mapa final'!$A$73),"")</f>
        <v/>
      </c>
      <c r="BC34" s="455"/>
      <c r="BD34" s="455" t="str">
        <f>IF(AND('Mapa final'!$K$76="Alta",'Mapa final'!$O$76="Catastrófico"),CONCATENATE("R",'Mapa final'!$A$76),"")</f>
        <v/>
      </c>
      <c r="BE34" s="455"/>
      <c r="BF34" s="455" t="str">
        <f>IF(AND('Mapa final'!$K$79="Alta",'Mapa final'!$O$79="Catastrófico"),CONCATENATE("R",'Mapa final'!$A$79),"")</f>
        <v/>
      </c>
      <c r="BG34" s="456"/>
      <c r="BH34" s="56"/>
      <c r="BI34" s="495" t="s">
        <v>74</v>
      </c>
      <c r="BJ34" s="496"/>
      <c r="BK34" s="496"/>
      <c r="BL34" s="496"/>
      <c r="BM34" s="496"/>
      <c r="BN34" s="497"/>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row>
    <row r="35" spans="1:100" ht="15" customHeight="1" x14ac:dyDescent="0.35">
      <c r="A35" s="56"/>
      <c r="B35" s="300"/>
      <c r="C35" s="300"/>
      <c r="D35" s="301"/>
      <c r="E35" s="524"/>
      <c r="F35" s="525"/>
      <c r="G35" s="525"/>
      <c r="H35" s="525"/>
      <c r="I35" s="526"/>
      <c r="J35" s="460"/>
      <c r="K35" s="458"/>
      <c r="L35" s="458"/>
      <c r="M35" s="458"/>
      <c r="N35" s="458"/>
      <c r="O35" s="458"/>
      <c r="P35" s="458"/>
      <c r="Q35" s="458"/>
      <c r="R35" s="458"/>
      <c r="S35" s="459"/>
      <c r="T35" s="460"/>
      <c r="U35" s="458"/>
      <c r="V35" s="458"/>
      <c r="W35" s="458"/>
      <c r="X35" s="458"/>
      <c r="Y35" s="458"/>
      <c r="Z35" s="458"/>
      <c r="AA35" s="458"/>
      <c r="AB35" s="458"/>
      <c r="AC35" s="459"/>
      <c r="AD35" s="463"/>
      <c r="AE35" s="461"/>
      <c r="AF35" s="461"/>
      <c r="AG35" s="461"/>
      <c r="AH35" s="461"/>
      <c r="AI35" s="461"/>
      <c r="AJ35" s="461"/>
      <c r="AK35" s="461"/>
      <c r="AL35" s="461"/>
      <c r="AM35" s="462"/>
      <c r="AN35" s="463"/>
      <c r="AO35" s="461"/>
      <c r="AP35" s="461"/>
      <c r="AQ35" s="461"/>
      <c r="AR35" s="461"/>
      <c r="AS35" s="461"/>
      <c r="AT35" s="461"/>
      <c r="AU35" s="461"/>
      <c r="AV35" s="461"/>
      <c r="AW35" s="462"/>
      <c r="AX35" s="457"/>
      <c r="AY35" s="455"/>
      <c r="AZ35" s="455"/>
      <c r="BA35" s="455"/>
      <c r="BB35" s="455"/>
      <c r="BC35" s="455"/>
      <c r="BD35" s="455"/>
      <c r="BE35" s="455"/>
      <c r="BF35" s="455"/>
      <c r="BG35" s="456"/>
      <c r="BH35" s="56"/>
      <c r="BI35" s="498"/>
      <c r="BJ35" s="499"/>
      <c r="BK35" s="499"/>
      <c r="BL35" s="499"/>
      <c r="BM35" s="499"/>
      <c r="BN35" s="500"/>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row>
    <row r="36" spans="1:100" ht="15" customHeight="1" x14ac:dyDescent="0.35">
      <c r="A36" s="56"/>
      <c r="B36" s="300"/>
      <c r="C36" s="300"/>
      <c r="D36" s="301"/>
      <c r="E36" s="524"/>
      <c r="F36" s="525"/>
      <c r="G36" s="525"/>
      <c r="H36" s="525"/>
      <c r="I36" s="526"/>
      <c r="J36" s="460" t="str">
        <f>IF(AND('Mapa final'!$K$82="Alta",'Mapa final'!$O$82="Leve"),CONCATENATE("R",'Mapa final'!$A$82),"")</f>
        <v/>
      </c>
      <c r="K36" s="458"/>
      <c r="L36" s="458" t="str">
        <f>IF(AND('Mapa final'!$K$85="Alta",'Mapa final'!$O$85="Leve"),CONCATENATE("R",'Mapa final'!$A$85),"")</f>
        <v/>
      </c>
      <c r="M36" s="458"/>
      <c r="N36" s="458" t="str">
        <f>IF(AND('Mapa final'!$K$88="Alta",'Mapa final'!$O$88="Leve"),CONCATENATE("R",'Mapa final'!$A$88),"")</f>
        <v/>
      </c>
      <c r="O36" s="458"/>
      <c r="P36" s="458" t="str">
        <f>IF(AND('Mapa final'!$K$91="Alta",'Mapa final'!$O$91="Leve"),CONCATENATE("R",'Mapa final'!$A$91),"")</f>
        <v/>
      </c>
      <c r="Q36" s="458"/>
      <c r="R36" s="458" t="str">
        <f>IF(AND('Mapa final'!$K$94="Alta",'Mapa final'!$O$94="Leve"),CONCATENATE("R",'Mapa final'!$A$94),"")</f>
        <v/>
      </c>
      <c r="S36" s="459"/>
      <c r="T36" s="460" t="str">
        <f>IF(AND('Mapa final'!$K$82="Alta",'Mapa final'!$O$82="Menor"),CONCATENATE("R",'Mapa final'!$A$82),"")</f>
        <v/>
      </c>
      <c r="U36" s="458"/>
      <c r="V36" s="458" t="str">
        <f>IF(AND('Mapa final'!$K$85="Alta",'Mapa final'!$O$85="Menor"),CONCATENATE("R",'Mapa final'!$A$85),"")</f>
        <v/>
      </c>
      <c r="W36" s="458"/>
      <c r="X36" s="458" t="str">
        <f>IF(AND('Mapa final'!$K$88="Alta",'Mapa final'!$O$88="Menor"),CONCATENATE("R",'Mapa final'!$A$88),"")</f>
        <v/>
      </c>
      <c r="Y36" s="458"/>
      <c r="Z36" s="458" t="str">
        <f>IF(AND('Mapa final'!$K$91="Alta",'Mapa final'!$O$91="Menor"),CONCATENATE("R",'Mapa final'!$A$91),"")</f>
        <v/>
      </c>
      <c r="AA36" s="458"/>
      <c r="AB36" s="458" t="str">
        <f>IF(AND('Mapa final'!$K$94="Alta",'Mapa final'!$O$94="Menor"),CONCATENATE("R",'Mapa final'!$A$94),"")</f>
        <v/>
      </c>
      <c r="AC36" s="459"/>
      <c r="AD36" s="463" t="str">
        <f>IF(AND('Mapa final'!$K$82="Alta",'Mapa final'!$O$82="Moderado"),CONCATENATE("R",'Mapa final'!$A$82),"")</f>
        <v/>
      </c>
      <c r="AE36" s="461"/>
      <c r="AF36" s="461" t="str">
        <f>IF(AND('Mapa final'!$K$85="Alta",'Mapa final'!$O$85="Moderado"),CONCATENATE("R",'Mapa final'!$A$85),"")</f>
        <v/>
      </c>
      <c r="AG36" s="461"/>
      <c r="AH36" s="461" t="str">
        <f>IF(AND('Mapa final'!$K$88="Alta",'Mapa final'!$O$88="Moderado"),CONCATENATE("R",'Mapa final'!$A$88),"")</f>
        <v/>
      </c>
      <c r="AI36" s="461"/>
      <c r="AJ36" s="461" t="str">
        <f>IF(AND('Mapa final'!$K$91="Alta",'Mapa final'!$O$91="Moderado"),CONCATENATE("R",'Mapa final'!$A$91),"")</f>
        <v/>
      </c>
      <c r="AK36" s="461"/>
      <c r="AL36" s="461" t="str">
        <f>IF(AND('Mapa final'!$K$94="Alta",'Mapa final'!$O$94="Moderado"),CONCATENATE("R",'Mapa final'!$A$94),"")</f>
        <v/>
      </c>
      <c r="AM36" s="462"/>
      <c r="AN36" s="463" t="str">
        <f>IF(AND('Mapa final'!$K$82="Alta",'Mapa final'!$O$82="Mayor"),CONCATENATE("R",'Mapa final'!$A$82),"")</f>
        <v/>
      </c>
      <c r="AO36" s="461"/>
      <c r="AP36" s="461" t="str">
        <f>IF(AND('Mapa final'!$K$85="Alta",'Mapa final'!$O$85="Mayor"),CONCATENATE("R",'Mapa final'!$A$85),"")</f>
        <v/>
      </c>
      <c r="AQ36" s="461"/>
      <c r="AR36" s="461" t="str">
        <f>IF(AND('Mapa final'!$K$88="Alta",'Mapa final'!$O$88="Mayor"),CONCATENATE("R",'Mapa final'!$A$88),"")</f>
        <v/>
      </c>
      <c r="AS36" s="461"/>
      <c r="AT36" s="461" t="str">
        <f>IF(AND('Mapa final'!$K$91="Alta",'Mapa final'!$O$91="Mayor"),CONCATENATE("R",'Mapa final'!$A$91),"")</f>
        <v/>
      </c>
      <c r="AU36" s="461"/>
      <c r="AV36" s="461" t="str">
        <f>IF(AND('Mapa final'!$K$94="Alta",'Mapa final'!$O$94="Mayor"),CONCATENATE("R",'Mapa final'!$A$94),"")</f>
        <v>R30</v>
      </c>
      <c r="AW36" s="462"/>
      <c r="AX36" s="457" t="str">
        <f>IF(AND('Mapa final'!$K$82="Alta",'Mapa final'!$O$82="Catastrófico"),CONCATENATE("R",'Mapa final'!$A$82),"")</f>
        <v/>
      </c>
      <c r="AY36" s="455"/>
      <c r="AZ36" s="455" t="str">
        <f>IF(AND('Mapa final'!$K$85="Alta",'Mapa final'!$O$85="Catastrófico"),CONCATENATE("R",'Mapa final'!$A$85),"")</f>
        <v/>
      </c>
      <c r="BA36" s="455"/>
      <c r="BB36" s="455" t="str">
        <f>IF(AND('Mapa final'!$K$88="Alta",'Mapa final'!$O$88="Catastrófico"),CONCATENATE("R",'Mapa final'!$A$88),"")</f>
        <v/>
      </c>
      <c r="BC36" s="455"/>
      <c r="BD36" s="455" t="str">
        <f>IF(AND('Mapa final'!$K$91="Alta",'Mapa final'!$O$91="Catastrófico"),CONCATENATE("R",'Mapa final'!$A$91),"")</f>
        <v/>
      </c>
      <c r="BE36" s="455"/>
      <c r="BF36" s="455" t="str">
        <f>IF(AND('Mapa final'!$K$94="Alta",'Mapa final'!$O$94="Catastrófico"),CONCATENATE("R",'Mapa final'!$A$94),"")</f>
        <v/>
      </c>
      <c r="BG36" s="456"/>
      <c r="BH36" s="56"/>
      <c r="BI36" s="498"/>
      <c r="BJ36" s="499"/>
      <c r="BK36" s="499"/>
      <c r="BL36" s="499"/>
      <c r="BM36" s="499"/>
      <c r="BN36" s="500"/>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row>
    <row r="37" spans="1:100" ht="15" customHeight="1" x14ac:dyDescent="0.35">
      <c r="A37" s="56"/>
      <c r="B37" s="300"/>
      <c r="C37" s="300"/>
      <c r="D37" s="301"/>
      <c r="E37" s="524"/>
      <c r="F37" s="525"/>
      <c r="G37" s="525"/>
      <c r="H37" s="525"/>
      <c r="I37" s="526"/>
      <c r="J37" s="460"/>
      <c r="K37" s="458"/>
      <c r="L37" s="458"/>
      <c r="M37" s="458"/>
      <c r="N37" s="458"/>
      <c r="O37" s="458"/>
      <c r="P37" s="458"/>
      <c r="Q37" s="458"/>
      <c r="R37" s="458"/>
      <c r="S37" s="459"/>
      <c r="T37" s="460"/>
      <c r="U37" s="458"/>
      <c r="V37" s="458"/>
      <c r="W37" s="458"/>
      <c r="X37" s="458"/>
      <c r="Y37" s="458"/>
      <c r="Z37" s="458"/>
      <c r="AA37" s="458"/>
      <c r="AB37" s="458"/>
      <c r="AC37" s="459"/>
      <c r="AD37" s="463"/>
      <c r="AE37" s="461"/>
      <c r="AF37" s="461"/>
      <c r="AG37" s="461"/>
      <c r="AH37" s="461"/>
      <c r="AI37" s="461"/>
      <c r="AJ37" s="461"/>
      <c r="AK37" s="461"/>
      <c r="AL37" s="461"/>
      <c r="AM37" s="462"/>
      <c r="AN37" s="463"/>
      <c r="AO37" s="461"/>
      <c r="AP37" s="461"/>
      <c r="AQ37" s="461"/>
      <c r="AR37" s="461"/>
      <c r="AS37" s="461"/>
      <c r="AT37" s="461"/>
      <c r="AU37" s="461"/>
      <c r="AV37" s="461"/>
      <c r="AW37" s="462"/>
      <c r="AX37" s="457"/>
      <c r="AY37" s="455"/>
      <c r="AZ37" s="455"/>
      <c r="BA37" s="455"/>
      <c r="BB37" s="455"/>
      <c r="BC37" s="455"/>
      <c r="BD37" s="455"/>
      <c r="BE37" s="455"/>
      <c r="BF37" s="455"/>
      <c r="BG37" s="456"/>
      <c r="BH37" s="56"/>
      <c r="BI37" s="498"/>
      <c r="BJ37" s="499"/>
      <c r="BK37" s="499"/>
      <c r="BL37" s="499"/>
      <c r="BM37" s="499"/>
      <c r="BN37" s="500"/>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row>
    <row r="38" spans="1:100" ht="15" customHeight="1" x14ac:dyDescent="0.35">
      <c r="A38" s="56"/>
      <c r="B38" s="300"/>
      <c r="C38" s="300"/>
      <c r="D38" s="301"/>
      <c r="E38" s="524"/>
      <c r="F38" s="525"/>
      <c r="G38" s="525"/>
      <c r="H38" s="525"/>
      <c r="I38" s="526"/>
      <c r="J38" s="460" t="str">
        <f>IF(AND('Mapa final'!$K$97="Alta",'Mapa final'!$O$97="Leve"),CONCATENATE("R",'Mapa final'!$A$97),"")</f>
        <v/>
      </c>
      <c r="K38" s="458"/>
      <c r="L38" s="458" t="e">
        <f>IF(AND('Mapa final'!#REF!="Alta",'Mapa final'!#REF!="Leve"),CONCATENATE("R",'Mapa final'!#REF!),"")</f>
        <v>#REF!</v>
      </c>
      <c r="M38" s="458"/>
      <c r="N38" s="458" t="str">
        <f>IF(AND('Mapa final'!$K$100="Alta",'Mapa final'!$O$100="Leve"),CONCATENATE("R",'Mapa final'!$A$100),"")</f>
        <v/>
      </c>
      <c r="O38" s="458"/>
      <c r="P38" s="458" t="str">
        <f>IF(AND('Mapa final'!$K$103="Alta",'Mapa final'!$O$103="Leve"),CONCATENATE("R",'Mapa final'!$A$103),"")</f>
        <v/>
      </c>
      <c r="Q38" s="458"/>
      <c r="R38" s="458" t="str">
        <f>IF(AND('Mapa final'!$K$106="Alta",'Mapa final'!$O$106="Leve"),CONCATENATE("R",'Mapa final'!$A$106),"")</f>
        <v/>
      </c>
      <c r="S38" s="459"/>
      <c r="T38" s="460" t="str">
        <f>IF(AND('Mapa final'!$K$97="Alta",'Mapa final'!$O$97="Menor"),CONCATENATE("R",'Mapa final'!$A$97),"")</f>
        <v/>
      </c>
      <c r="U38" s="458"/>
      <c r="V38" s="458" t="e">
        <f>IF(AND('Mapa final'!#REF!="Alta",'Mapa final'!#REF!="Menor"),CONCATENATE("R",'Mapa final'!#REF!),"")</f>
        <v>#REF!</v>
      </c>
      <c r="W38" s="458"/>
      <c r="X38" s="458" t="str">
        <f>IF(AND('Mapa final'!$K$100="Alta",'Mapa final'!$O$100="Menor"),CONCATENATE("R",'Mapa final'!$A$100),"")</f>
        <v/>
      </c>
      <c r="Y38" s="458"/>
      <c r="Z38" s="458" t="str">
        <f>IF(AND('Mapa final'!$K$103="Alta",'Mapa final'!$O$103="Menor"),CONCATENATE("R",'Mapa final'!$A$103),"")</f>
        <v/>
      </c>
      <c r="AA38" s="458"/>
      <c r="AB38" s="458" t="str">
        <f>IF(AND('Mapa final'!$K$106="Alta",'Mapa final'!$O$106="Menor"),CONCATENATE("R",'Mapa final'!$A$106),"")</f>
        <v/>
      </c>
      <c r="AC38" s="459"/>
      <c r="AD38" s="463" t="str">
        <f>IF(AND('Mapa final'!$K$97="Alta",'Mapa final'!$O$97="Moderado"),CONCATENATE("R",'Mapa final'!$A$97),"")</f>
        <v/>
      </c>
      <c r="AE38" s="461"/>
      <c r="AF38" s="461" t="e">
        <f>IF(AND('Mapa final'!#REF!="Alta",'Mapa final'!#REF!="Moderado"),CONCATENATE("R",'Mapa final'!#REF!),"")</f>
        <v>#REF!</v>
      </c>
      <c r="AG38" s="461"/>
      <c r="AH38" s="461" t="str">
        <f>IF(AND('Mapa final'!$K$100="Alta",'Mapa final'!$O$100="Moderado"),CONCATENATE("R",'Mapa final'!$A$100),"")</f>
        <v>R32</v>
      </c>
      <c r="AI38" s="461"/>
      <c r="AJ38" s="461" t="str">
        <f>IF(AND('Mapa final'!$K$103="Alta",'Mapa final'!$O$103="Moderado"),CONCATENATE("R",'Mapa final'!$A$103),"")</f>
        <v/>
      </c>
      <c r="AK38" s="461"/>
      <c r="AL38" s="461" t="str">
        <f>IF(AND('Mapa final'!$K$106="Alta",'Mapa final'!$O$106="Moderado"),CONCATENATE("R",'Mapa final'!$A$106),"")</f>
        <v/>
      </c>
      <c r="AM38" s="462"/>
      <c r="AN38" s="463" t="str">
        <f>IF(AND('Mapa final'!$K$97="Alta",'Mapa final'!$O$97="Mayor"),CONCATENATE("R",'Mapa final'!$A$97),"")</f>
        <v/>
      </c>
      <c r="AO38" s="461"/>
      <c r="AP38" s="461" t="e">
        <f>IF(AND('Mapa final'!#REF!="Alta",'Mapa final'!#REF!="Mayor"),CONCATENATE("R",'Mapa final'!#REF!),"")</f>
        <v>#REF!</v>
      </c>
      <c r="AQ38" s="461"/>
      <c r="AR38" s="461" t="str">
        <f>IF(AND('Mapa final'!$K$100="Alta",'Mapa final'!$O$100="Mayor"),CONCATENATE("R",'Mapa final'!$A$100),"")</f>
        <v/>
      </c>
      <c r="AS38" s="461"/>
      <c r="AT38" s="461" t="str">
        <f>IF(AND('Mapa final'!$K$103="Alta",'Mapa final'!$O$103="Mayor"),CONCATENATE("R",'Mapa final'!$A$103),"")</f>
        <v/>
      </c>
      <c r="AU38" s="461"/>
      <c r="AV38" s="461" t="str">
        <f>IF(AND('Mapa final'!$K$106="Alta",'Mapa final'!$O$106="Mayor"),CONCATENATE("R",'Mapa final'!$A$106),"")</f>
        <v/>
      </c>
      <c r="AW38" s="462"/>
      <c r="AX38" s="457" t="str">
        <f>IF(AND('Mapa final'!$K$97="Alta",'Mapa final'!$O$97="Catastrófico"),CONCATENATE("R",'Mapa final'!$A$97),"")</f>
        <v/>
      </c>
      <c r="AY38" s="455"/>
      <c r="AZ38" s="455" t="e">
        <f>IF(AND('Mapa final'!#REF!="Alta",'Mapa final'!#REF!="Catastrófico"),CONCATENATE("R",'Mapa final'!#REF!),"")</f>
        <v>#REF!</v>
      </c>
      <c r="BA38" s="455"/>
      <c r="BB38" s="455" t="str">
        <f>IF(AND('Mapa final'!$K$100="Alta",'Mapa final'!$O$100="Catastrófico"),CONCATENATE("R",'Mapa final'!$A$100),"")</f>
        <v/>
      </c>
      <c r="BC38" s="455"/>
      <c r="BD38" s="455" t="str">
        <f>IF(AND('Mapa final'!$K$103="Alta",'Mapa final'!$O$103="Catastrófico"),CONCATENATE("R",'Mapa final'!$A$103),"")</f>
        <v/>
      </c>
      <c r="BE38" s="455"/>
      <c r="BF38" s="455" t="str">
        <f>IF(AND('Mapa final'!$K$106="Alta",'Mapa final'!$O$106="Catastrófico"),CONCATENATE("R",'Mapa final'!$A$106),"")</f>
        <v/>
      </c>
      <c r="BG38" s="456"/>
      <c r="BH38" s="56"/>
      <c r="BI38" s="498"/>
      <c r="BJ38" s="499"/>
      <c r="BK38" s="499"/>
      <c r="BL38" s="499"/>
      <c r="BM38" s="499"/>
      <c r="BN38" s="500"/>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row>
    <row r="39" spans="1:100" ht="15" customHeight="1" x14ac:dyDescent="0.35">
      <c r="A39" s="56"/>
      <c r="B39" s="300"/>
      <c r="C39" s="300"/>
      <c r="D39" s="301"/>
      <c r="E39" s="524"/>
      <c r="F39" s="525"/>
      <c r="G39" s="525"/>
      <c r="H39" s="525"/>
      <c r="I39" s="526"/>
      <c r="J39" s="460"/>
      <c r="K39" s="458"/>
      <c r="L39" s="458"/>
      <c r="M39" s="458"/>
      <c r="N39" s="458"/>
      <c r="O39" s="458"/>
      <c r="P39" s="458"/>
      <c r="Q39" s="458"/>
      <c r="R39" s="458"/>
      <c r="S39" s="459"/>
      <c r="T39" s="460"/>
      <c r="U39" s="458"/>
      <c r="V39" s="458"/>
      <c r="W39" s="458"/>
      <c r="X39" s="458"/>
      <c r="Y39" s="458"/>
      <c r="Z39" s="458"/>
      <c r="AA39" s="458"/>
      <c r="AB39" s="458"/>
      <c r="AC39" s="459"/>
      <c r="AD39" s="463"/>
      <c r="AE39" s="461"/>
      <c r="AF39" s="461"/>
      <c r="AG39" s="461"/>
      <c r="AH39" s="461"/>
      <c r="AI39" s="461"/>
      <c r="AJ39" s="461"/>
      <c r="AK39" s="461"/>
      <c r="AL39" s="461"/>
      <c r="AM39" s="462"/>
      <c r="AN39" s="463"/>
      <c r="AO39" s="461"/>
      <c r="AP39" s="461"/>
      <c r="AQ39" s="461"/>
      <c r="AR39" s="461"/>
      <c r="AS39" s="461"/>
      <c r="AT39" s="461"/>
      <c r="AU39" s="461"/>
      <c r="AV39" s="461"/>
      <c r="AW39" s="462"/>
      <c r="AX39" s="457"/>
      <c r="AY39" s="455"/>
      <c r="AZ39" s="455"/>
      <c r="BA39" s="455"/>
      <c r="BB39" s="455"/>
      <c r="BC39" s="455"/>
      <c r="BD39" s="455"/>
      <c r="BE39" s="455"/>
      <c r="BF39" s="455"/>
      <c r="BG39" s="456"/>
      <c r="BH39" s="56"/>
      <c r="BI39" s="498"/>
      <c r="BJ39" s="499"/>
      <c r="BK39" s="499"/>
      <c r="BL39" s="499"/>
      <c r="BM39" s="499"/>
      <c r="BN39" s="500"/>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row>
    <row r="40" spans="1:100" ht="15" customHeight="1" x14ac:dyDescent="0.35">
      <c r="A40" s="56"/>
      <c r="B40" s="300"/>
      <c r="C40" s="300"/>
      <c r="D40" s="301"/>
      <c r="E40" s="524"/>
      <c r="F40" s="525"/>
      <c r="G40" s="525"/>
      <c r="H40" s="525"/>
      <c r="I40" s="526"/>
      <c r="J40" s="460" t="str">
        <f>IF(AND('Mapa final'!$K$109="Alta",'Mapa final'!$O$109="Leve"),CONCATENATE("R",'Mapa final'!$A$109),"")</f>
        <v/>
      </c>
      <c r="K40" s="458"/>
      <c r="L40" s="458" t="str">
        <f>IF(AND('Mapa final'!$K$112="Alta",'Mapa final'!$O$112="Leve"),CONCATENATE("R",'Mapa final'!$A$112),"")</f>
        <v/>
      </c>
      <c r="M40" s="458"/>
      <c r="N40" s="458" t="str">
        <f>IF(AND('Mapa final'!$K$115="Alta",'Mapa final'!$O$115="Leve"),CONCATENATE("R",'Mapa final'!$A$115),"")</f>
        <v/>
      </c>
      <c r="O40" s="458"/>
      <c r="P40" s="458" t="str">
        <f>IF(AND('Mapa final'!$K$118="Alta",'Mapa final'!$O$118="Leve"),CONCATENATE("R",'Mapa final'!$A$118),"")</f>
        <v/>
      </c>
      <c r="Q40" s="458"/>
      <c r="R40" s="458" t="str">
        <f>IF(AND('Mapa final'!$K$121="Alta",'Mapa final'!$O$121="Leve"),CONCATENATE("R",'Mapa final'!$A$121),"")</f>
        <v/>
      </c>
      <c r="S40" s="459"/>
      <c r="T40" s="460" t="str">
        <f>IF(AND('Mapa final'!$K$109="Alta",'Mapa final'!$O$109="Menor"),CONCATENATE("R",'Mapa final'!$A$109),"")</f>
        <v/>
      </c>
      <c r="U40" s="458"/>
      <c r="V40" s="458" t="str">
        <f>IF(AND('Mapa final'!$K$112="Alta",'Mapa final'!$O$112="Menor"),CONCATENATE("R",'Mapa final'!$A$112),"")</f>
        <v/>
      </c>
      <c r="W40" s="458"/>
      <c r="X40" s="458" t="str">
        <f>IF(AND('Mapa final'!$K$115="Alta",'Mapa final'!$O$115="Menor"),CONCATENATE("R",'Mapa final'!$A$115),"")</f>
        <v/>
      </c>
      <c r="Y40" s="458"/>
      <c r="Z40" s="458" t="str">
        <f>IF(AND('Mapa final'!$K$118="Alta",'Mapa final'!$O$118="Menor"),CONCATENATE("R",'Mapa final'!$A$118),"")</f>
        <v/>
      </c>
      <c r="AA40" s="458"/>
      <c r="AB40" s="458" t="str">
        <f>IF(AND('Mapa final'!$K$121="Alta",'Mapa final'!$O$121="Menor"),CONCATENATE("R",'Mapa final'!$A$121),"")</f>
        <v/>
      </c>
      <c r="AC40" s="459"/>
      <c r="AD40" s="463" t="str">
        <f>IF(AND('Mapa final'!$K$109="Alta",'Mapa final'!$O$109="Moderado"),CONCATENATE("R",'Mapa final'!$A$109),"")</f>
        <v/>
      </c>
      <c r="AE40" s="461"/>
      <c r="AF40" s="461" t="str">
        <f>IF(AND('Mapa final'!$K$112="Alta",'Mapa final'!$O$112="Moderado"),CONCATENATE("R",'Mapa final'!$A$112),"")</f>
        <v/>
      </c>
      <c r="AG40" s="461"/>
      <c r="AH40" s="461" t="str">
        <f>IF(AND('Mapa final'!$K$115="Alta",'Mapa final'!$O$115="Moderado"),CONCATENATE("R",'Mapa final'!$A$115),"")</f>
        <v/>
      </c>
      <c r="AI40" s="461"/>
      <c r="AJ40" s="461" t="str">
        <f>IF(AND('Mapa final'!$K$118="Alta",'Mapa final'!$O$118="Moderado"),CONCATENATE("R",'Mapa final'!$A$118),"")</f>
        <v>R38</v>
      </c>
      <c r="AK40" s="461"/>
      <c r="AL40" s="461" t="str">
        <f>IF(AND('Mapa final'!$K$121="Alta",'Mapa final'!$O$121="Moderado"),CONCATENATE("R",'Mapa final'!$A$121),"")</f>
        <v/>
      </c>
      <c r="AM40" s="462"/>
      <c r="AN40" s="463" t="str">
        <f>IF(AND('Mapa final'!$K$109="Alta",'Mapa final'!$O$109="Mayor"),CONCATENATE("R",'Mapa final'!$A$109),"")</f>
        <v/>
      </c>
      <c r="AO40" s="461"/>
      <c r="AP40" s="461" t="str">
        <f>IF(AND('Mapa final'!$K$112="Alta",'Mapa final'!$O$112="Mayor"),CONCATENATE("R",'Mapa final'!$A$112),"")</f>
        <v/>
      </c>
      <c r="AQ40" s="461"/>
      <c r="AR40" s="461" t="str">
        <f>IF(AND('Mapa final'!$K$115="Alta",'Mapa final'!$O$115="Mayor"),CONCATENATE("R",'Mapa final'!$A$115),"")</f>
        <v/>
      </c>
      <c r="AS40" s="461"/>
      <c r="AT40" s="461" t="str">
        <f>IF(AND('Mapa final'!$K$118="Alta",'Mapa final'!$O$118="Mayor"),CONCATENATE("R",'Mapa final'!$A$118),"")</f>
        <v/>
      </c>
      <c r="AU40" s="461"/>
      <c r="AV40" s="461" t="str">
        <f>IF(AND('Mapa final'!$K$121="Alta",'Mapa final'!$O$121="Mayor"),CONCATENATE("R",'Mapa final'!$A$121),"")</f>
        <v/>
      </c>
      <c r="AW40" s="462"/>
      <c r="AX40" s="457" t="str">
        <f>IF(AND('Mapa final'!$K$109="Alta",'Mapa final'!$O$109="Catastrófico"),CONCATENATE("R",'Mapa final'!$A$109),"")</f>
        <v/>
      </c>
      <c r="AY40" s="455"/>
      <c r="AZ40" s="455" t="str">
        <f>IF(AND('Mapa final'!$K$112="Alta",'Mapa final'!$O$112="Catastrófico"),CONCATENATE("R",'Mapa final'!$A$112),"")</f>
        <v/>
      </c>
      <c r="BA40" s="455"/>
      <c r="BB40" s="455" t="str">
        <f>IF(AND('Mapa final'!$K$115="Alta",'Mapa final'!$O$115="Catastrófico"),CONCATENATE("R",'Mapa final'!$A$115),"")</f>
        <v/>
      </c>
      <c r="BC40" s="455"/>
      <c r="BD40" s="455" t="str">
        <f>IF(AND('Mapa final'!$K$118="Alta",'Mapa final'!$O$118="Catastrófico"),CONCATENATE("R",'Mapa final'!$A$118),"")</f>
        <v/>
      </c>
      <c r="BE40" s="455"/>
      <c r="BF40" s="455" t="str">
        <f>IF(AND('Mapa final'!$K$121="Alta",'Mapa final'!$O$121="Catastrófico"),CONCATENATE("R",'Mapa final'!$A$121),"")</f>
        <v/>
      </c>
      <c r="BG40" s="456"/>
      <c r="BH40" s="56"/>
      <c r="BI40" s="498"/>
      <c r="BJ40" s="499"/>
      <c r="BK40" s="499"/>
      <c r="BL40" s="499"/>
      <c r="BM40" s="499"/>
      <c r="BN40" s="500"/>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row>
    <row r="41" spans="1:100" ht="15" customHeight="1" x14ac:dyDescent="0.35">
      <c r="A41" s="56"/>
      <c r="B41" s="300"/>
      <c r="C41" s="300"/>
      <c r="D41" s="301"/>
      <c r="E41" s="524"/>
      <c r="F41" s="525"/>
      <c r="G41" s="525"/>
      <c r="H41" s="525"/>
      <c r="I41" s="526"/>
      <c r="J41" s="460"/>
      <c r="K41" s="458"/>
      <c r="L41" s="458"/>
      <c r="M41" s="458"/>
      <c r="N41" s="458"/>
      <c r="O41" s="458"/>
      <c r="P41" s="458"/>
      <c r="Q41" s="458"/>
      <c r="R41" s="458"/>
      <c r="S41" s="459"/>
      <c r="T41" s="460"/>
      <c r="U41" s="458"/>
      <c r="V41" s="458"/>
      <c r="W41" s="458"/>
      <c r="X41" s="458"/>
      <c r="Y41" s="458"/>
      <c r="Z41" s="458"/>
      <c r="AA41" s="458"/>
      <c r="AB41" s="458"/>
      <c r="AC41" s="459"/>
      <c r="AD41" s="463"/>
      <c r="AE41" s="461"/>
      <c r="AF41" s="461"/>
      <c r="AG41" s="461"/>
      <c r="AH41" s="461"/>
      <c r="AI41" s="461"/>
      <c r="AJ41" s="461"/>
      <c r="AK41" s="461"/>
      <c r="AL41" s="461"/>
      <c r="AM41" s="462"/>
      <c r="AN41" s="463"/>
      <c r="AO41" s="461"/>
      <c r="AP41" s="461"/>
      <c r="AQ41" s="461"/>
      <c r="AR41" s="461"/>
      <c r="AS41" s="461"/>
      <c r="AT41" s="461"/>
      <c r="AU41" s="461"/>
      <c r="AV41" s="461"/>
      <c r="AW41" s="462"/>
      <c r="AX41" s="457"/>
      <c r="AY41" s="455"/>
      <c r="AZ41" s="455"/>
      <c r="BA41" s="455"/>
      <c r="BB41" s="455"/>
      <c r="BC41" s="455"/>
      <c r="BD41" s="455"/>
      <c r="BE41" s="455"/>
      <c r="BF41" s="455"/>
      <c r="BG41" s="456"/>
      <c r="BH41" s="56"/>
      <c r="BI41" s="498"/>
      <c r="BJ41" s="499"/>
      <c r="BK41" s="499"/>
      <c r="BL41" s="499"/>
      <c r="BM41" s="499"/>
      <c r="BN41" s="500"/>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row>
    <row r="42" spans="1:100" ht="15" customHeight="1" x14ac:dyDescent="0.35">
      <c r="A42" s="56"/>
      <c r="B42" s="300"/>
      <c r="C42" s="300"/>
      <c r="D42" s="301"/>
      <c r="E42" s="524"/>
      <c r="F42" s="525"/>
      <c r="G42" s="525"/>
      <c r="H42" s="525"/>
      <c r="I42" s="526"/>
      <c r="J42" s="460" t="str">
        <f>IF(AND('Mapa final'!$K$124="Alta",'Mapa final'!$O$124="Leve"),CONCATENATE("R",'Mapa final'!$A$124),"")</f>
        <v/>
      </c>
      <c r="K42" s="458"/>
      <c r="L42" s="458" t="str">
        <f>IF(AND('Mapa final'!$K$127="Alta",'Mapa final'!$O$127="Leve"),CONCATENATE("R",'Mapa final'!$A$127),"")</f>
        <v/>
      </c>
      <c r="M42" s="458"/>
      <c r="N42" s="458" t="str">
        <f>IF(AND('Mapa final'!$K$130="Alta",'Mapa final'!$O$130="Leve"),CONCATENATE("R",'Mapa final'!$A$130),"")</f>
        <v/>
      </c>
      <c r="O42" s="458"/>
      <c r="P42" s="458" t="str">
        <f>IF(AND('Mapa final'!$K$133="Alta",'Mapa final'!$O$133="Leve"),CONCATENATE("R",'Mapa final'!$A$133),"")</f>
        <v/>
      </c>
      <c r="Q42" s="458"/>
      <c r="R42" s="458" t="str">
        <f>IF(AND('Mapa final'!$K$136="Alta",'Mapa final'!$O$136="Leve"),CONCATENATE("R",'Mapa final'!$A$136),"")</f>
        <v/>
      </c>
      <c r="S42" s="459"/>
      <c r="T42" s="460" t="str">
        <f>IF(AND('Mapa final'!$K$124="Alta",'Mapa final'!$O$124="Menor"),CONCATENATE("R",'Mapa final'!$A$124),"")</f>
        <v/>
      </c>
      <c r="U42" s="458"/>
      <c r="V42" s="458" t="str">
        <f>IF(AND('Mapa final'!$K$127="Alta",'Mapa final'!$O$127="Menor"),CONCATENATE("R",'Mapa final'!$A$127),"")</f>
        <v/>
      </c>
      <c r="W42" s="458"/>
      <c r="X42" s="458" t="str">
        <f>IF(AND('Mapa final'!$K$130="Alta",'Mapa final'!$O$130="Menor"),CONCATENATE("R",'Mapa final'!$A$130),"")</f>
        <v/>
      </c>
      <c r="Y42" s="458"/>
      <c r="Z42" s="458" t="str">
        <f>IF(AND('Mapa final'!$K$133="Alta",'Mapa final'!$O$133="Menor"),CONCATENATE("R",'Mapa final'!$A$133),"")</f>
        <v/>
      </c>
      <c r="AA42" s="458"/>
      <c r="AB42" s="458" t="str">
        <f>IF(AND('Mapa final'!$K$136="Alta",'Mapa final'!$O$136="Menor"),CONCATENATE("R",'Mapa final'!$A$136),"")</f>
        <v/>
      </c>
      <c r="AC42" s="459"/>
      <c r="AD42" s="463" t="str">
        <f>IF(AND('Mapa final'!$K$124="Alta",'Mapa final'!$O$124="Moderado"),CONCATENATE("R",'Mapa final'!$A$124),"")</f>
        <v/>
      </c>
      <c r="AE42" s="461"/>
      <c r="AF42" s="461" t="str">
        <f>IF(AND('Mapa final'!$K$127="Alta",'Mapa final'!$O$127="Moderado"),CONCATENATE("R",'Mapa final'!$A$127),"")</f>
        <v/>
      </c>
      <c r="AG42" s="461"/>
      <c r="AH42" s="461" t="str">
        <f>IF(AND('Mapa final'!$K$130="Alta",'Mapa final'!$O$130="Moderado"),CONCATENATE("R",'Mapa final'!$A$130),"")</f>
        <v/>
      </c>
      <c r="AI42" s="461"/>
      <c r="AJ42" s="461" t="str">
        <f>IF(AND('Mapa final'!$K$133="Alta",'Mapa final'!$O$133="Moderado"),CONCATENATE("R",'Mapa final'!$A$133),"")</f>
        <v/>
      </c>
      <c r="AK42" s="461"/>
      <c r="AL42" s="461" t="str">
        <f>IF(AND('Mapa final'!$K$136="Alta",'Mapa final'!$O$136="Moderado"),CONCATENATE("R",'Mapa final'!$A$136),"")</f>
        <v/>
      </c>
      <c r="AM42" s="462"/>
      <c r="AN42" s="463" t="str">
        <f>IF(AND('Mapa final'!$K$124="Alta",'Mapa final'!$O$124="Mayor"),CONCATENATE("R",'Mapa final'!$A$124),"")</f>
        <v/>
      </c>
      <c r="AO42" s="461"/>
      <c r="AP42" s="461" t="str">
        <f>IF(AND('Mapa final'!$K$127="Alta",'Mapa final'!$O$127="Mayor"),CONCATENATE("R",'Mapa final'!$A$127),"")</f>
        <v/>
      </c>
      <c r="AQ42" s="461"/>
      <c r="AR42" s="461" t="str">
        <f>IF(AND('Mapa final'!$K$130="Alta",'Mapa final'!$O$130="Mayor"),CONCATENATE("R",'Mapa final'!$A$130),"")</f>
        <v/>
      </c>
      <c r="AS42" s="461"/>
      <c r="AT42" s="461" t="str">
        <f>IF(AND('Mapa final'!$K$133="Alta",'Mapa final'!$O$133="Mayor"),CONCATENATE("R",'Mapa final'!$A$133),"")</f>
        <v/>
      </c>
      <c r="AU42" s="461"/>
      <c r="AV42" s="461" t="str">
        <f>IF(AND('Mapa final'!$K$136="Alta",'Mapa final'!$O$136="Mayor"),CONCATENATE("R",'Mapa final'!$A$136),"")</f>
        <v/>
      </c>
      <c r="AW42" s="462"/>
      <c r="AX42" s="457" t="str">
        <f>IF(AND('Mapa final'!$K$124="Alta",'Mapa final'!$O$124="Catastrófico"),CONCATENATE("R",'Mapa final'!$A$124),"")</f>
        <v/>
      </c>
      <c r="AY42" s="455"/>
      <c r="AZ42" s="455" t="str">
        <f>IF(AND('Mapa final'!$K$127="Alta",'Mapa final'!$O$127="Catastrófico"),CONCATENATE("R",'Mapa final'!$A$127),"")</f>
        <v/>
      </c>
      <c r="BA42" s="455"/>
      <c r="BB42" s="455" t="str">
        <f>IF(AND('Mapa final'!$K$130="Alta",'Mapa final'!$O$130="Catastrófico"),CONCATENATE("R",'Mapa final'!$A$130),"")</f>
        <v/>
      </c>
      <c r="BC42" s="455"/>
      <c r="BD42" s="455" t="str">
        <f>IF(AND('Mapa final'!$K$133="Alta",'Mapa final'!$O$133="Catastrófico"),CONCATENATE("R",'Mapa final'!$A$133),"")</f>
        <v/>
      </c>
      <c r="BE42" s="455"/>
      <c r="BF42" s="455" t="str">
        <f>IF(AND('Mapa final'!$K$136="Alta",'Mapa final'!$O$136="Catastrófico"),CONCATENATE("R",'Mapa final'!$A$136),"")</f>
        <v/>
      </c>
      <c r="BG42" s="456"/>
      <c r="BH42" s="56"/>
      <c r="BI42" s="498"/>
      <c r="BJ42" s="499"/>
      <c r="BK42" s="499"/>
      <c r="BL42" s="499"/>
      <c r="BM42" s="499"/>
      <c r="BN42" s="500"/>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row>
    <row r="43" spans="1:100" ht="15" customHeight="1" x14ac:dyDescent="0.35">
      <c r="A43" s="56"/>
      <c r="B43" s="300"/>
      <c r="C43" s="300"/>
      <c r="D43" s="301"/>
      <c r="E43" s="524"/>
      <c r="F43" s="525"/>
      <c r="G43" s="525"/>
      <c r="H43" s="525"/>
      <c r="I43" s="526"/>
      <c r="J43" s="460"/>
      <c r="K43" s="458"/>
      <c r="L43" s="458"/>
      <c r="M43" s="458"/>
      <c r="N43" s="458"/>
      <c r="O43" s="458"/>
      <c r="P43" s="458"/>
      <c r="Q43" s="458"/>
      <c r="R43" s="458"/>
      <c r="S43" s="459"/>
      <c r="T43" s="460"/>
      <c r="U43" s="458"/>
      <c r="V43" s="458"/>
      <c r="W43" s="458"/>
      <c r="X43" s="458"/>
      <c r="Y43" s="458"/>
      <c r="Z43" s="458"/>
      <c r="AA43" s="458"/>
      <c r="AB43" s="458"/>
      <c r="AC43" s="459"/>
      <c r="AD43" s="463"/>
      <c r="AE43" s="461"/>
      <c r="AF43" s="461"/>
      <c r="AG43" s="461"/>
      <c r="AH43" s="461"/>
      <c r="AI43" s="461"/>
      <c r="AJ43" s="461"/>
      <c r="AK43" s="461"/>
      <c r="AL43" s="461"/>
      <c r="AM43" s="462"/>
      <c r="AN43" s="463"/>
      <c r="AO43" s="461"/>
      <c r="AP43" s="461"/>
      <c r="AQ43" s="461"/>
      <c r="AR43" s="461"/>
      <c r="AS43" s="461"/>
      <c r="AT43" s="461"/>
      <c r="AU43" s="461"/>
      <c r="AV43" s="461"/>
      <c r="AW43" s="462"/>
      <c r="AX43" s="457"/>
      <c r="AY43" s="455"/>
      <c r="AZ43" s="455"/>
      <c r="BA43" s="455"/>
      <c r="BB43" s="455"/>
      <c r="BC43" s="455"/>
      <c r="BD43" s="455"/>
      <c r="BE43" s="455"/>
      <c r="BF43" s="455"/>
      <c r="BG43" s="456"/>
      <c r="BH43" s="56"/>
      <c r="BI43" s="498"/>
      <c r="BJ43" s="499"/>
      <c r="BK43" s="499"/>
      <c r="BL43" s="499"/>
      <c r="BM43" s="499"/>
      <c r="BN43" s="500"/>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row>
    <row r="44" spans="1:100" ht="15" customHeight="1" x14ac:dyDescent="0.35">
      <c r="A44" s="56"/>
      <c r="B44" s="300"/>
      <c r="C44" s="300"/>
      <c r="D44" s="301"/>
      <c r="E44" s="524"/>
      <c r="F44" s="525"/>
      <c r="G44" s="525"/>
      <c r="H44" s="525"/>
      <c r="I44" s="526"/>
      <c r="J44" s="460" t="str">
        <f>IF(AND('Mapa final'!$K$139="Alta",'Mapa final'!$O$139="Leve"),CONCATENATE("R",'Mapa final'!$A$139),"")</f>
        <v/>
      </c>
      <c r="K44" s="458"/>
      <c r="L44" s="458" t="str">
        <f>IF(AND('Mapa final'!$K$142="Alta",'Mapa final'!$O$142="Leve"),CONCATENATE("R",'Mapa final'!$A$142),"")</f>
        <v/>
      </c>
      <c r="M44" s="458"/>
      <c r="N44" s="458" t="str">
        <f>IF(AND('Mapa final'!$K$145="Alta",'Mapa final'!$O$145="Leve"),CONCATENATE("R",'Mapa final'!$A$145),"")</f>
        <v/>
      </c>
      <c r="O44" s="458"/>
      <c r="P44" s="458" t="str">
        <f>IF(AND('Mapa final'!$K$148="Alta",'Mapa final'!$O$148="Leve"),CONCATENATE("R",'Mapa final'!$A$148),"")</f>
        <v/>
      </c>
      <c r="Q44" s="458"/>
      <c r="R44" s="458" t="str">
        <f>IF(AND('Mapa final'!$K$151="Alta",'Mapa final'!$O$151="Leve"),CONCATENATE("R",'Mapa final'!$A$151),"")</f>
        <v/>
      </c>
      <c r="S44" s="459"/>
      <c r="T44" s="460" t="str">
        <f>IF(AND('Mapa final'!$K$139="Alta",'Mapa final'!$O$139="Menor"),CONCATENATE("R",'Mapa final'!$A$139),"")</f>
        <v/>
      </c>
      <c r="U44" s="458"/>
      <c r="V44" s="458" t="str">
        <f>IF(AND('Mapa final'!$K$142="Alta",'Mapa final'!$O$142="Menor"),CONCATENATE("R",'Mapa final'!$A$142),"")</f>
        <v/>
      </c>
      <c r="W44" s="458"/>
      <c r="X44" s="458" t="str">
        <f>IF(AND('Mapa final'!$K$145="Alta",'Mapa final'!$O$145="Menor"),CONCATENATE("R",'Mapa final'!$A$145),"")</f>
        <v/>
      </c>
      <c r="Y44" s="458"/>
      <c r="Z44" s="458" t="str">
        <f>IF(AND('Mapa final'!$K$148="Alta",'Mapa final'!$O$148="Menor"),CONCATENATE("R",'Mapa final'!$A$148),"")</f>
        <v/>
      </c>
      <c r="AA44" s="458"/>
      <c r="AB44" s="458" t="str">
        <f>IF(AND('Mapa final'!$K$151="Alta",'Mapa final'!$O$151="Menor"),CONCATENATE("R",'Mapa final'!$A$151),"")</f>
        <v/>
      </c>
      <c r="AC44" s="459"/>
      <c r="AD44" s="463" t="str">
        <f>IF(AND('Mapa final'!$K$139="Alta",'Mapa final'!$O$139="Moderado"),CONCATENATE("R",'Mapa final'!$A$139),"")</f>
        <v/>
      </c>
      <c r="AE44" s="461"/>
      <c r="AF44" s="461" t="str">
        <f>IF(AND('Mapa final'!$K$142="Alta",'Mapa final'!$O$142="Moderado"),CONCATENATE("R",'Mapa final'!$A$142),"")</f>
        <v/>
      </c>
      <c r="AG44" s="461"/>
      <c r="AH44" s="461" t="str">
        <f>IF(AND('Mapa final'!$K$145="Alta",'Mapa final'!$O$145="Moderado"),CONCATENATE("R",'Mapa final'!$A$145),"")</f>
        <v/>
      </c>
      <c r="AI44" s="461"/>
      <c r="AJ44" s="461" t="str">
        <f>IF(AND('Mapa final'!$K$148="Alta",'Mapa final'!$O$148="Moderado"),CONCATENATE("R",'Mapa final'!$A$148),"")</f>
        <v/>
      </c>
      <c r="AK44" s="461"/>
      <c r="AL44" s="461" t="str">
        <f>IF(AND('Mapa final'!$K$151="Alta",'Mapa final'!$O$151="Moderado"),CONCATENATE("R",'Mapa final'!$A$151),"")</f>
        <v/>
      </c>
      <c r="AM44" s="462"/>
      <c r="AN44" s="463" t="str">
        <f>IF(AND('Mapa final'!$K$139="Alta",'Mapa final'!$O$139="Mayor"),CONCATENATE("R",'Mapa final'!$A$139),"")</f>
        <v/>
      </c>
      <c r="AO44" s="461"/>
      <c r="AP44" s="461" t="str">
        <f>IF(AND('Mapa final'!$K$142="Alta",'Mapa final'!$O$142="Mayor"),CONCATENATE("R",'Mapa final'!$A$142),"")</f>
        <v/>
      </c>
      <c r="AQ44" s="461"/>
      <c r="AR44" s="461" t="str">
        <f>IF(AND('Mapa final'!$K$145="Alta",'Mapa final'!$O$145="Mayor"),CONCATENATE("R",'Mapa final'!$A$145),"")</f>
        <v/>
      </c>
      <c r="AS44" s="461"/>
      <c r="AT44" s="461" t="str">
        <f>IF(AND('Mapa final'!$K$148="Alta",'Mapa final'!$O$148="Mayor"),CONCATENATE("R",'Mapa final'!$A$148),"")</f>
        <v/>
      </c>
      <c r="AU44" s="461"/>
      <c r="AV44" s="461" t="str">
        <f>IF(AND('Mapa final'!$K$151="Alta",'Mapa final'!$O$151="Mayor"),CONCATENATE("R",'Mapa final'!$A$151),"")</f>
        <v/>
      </c>
      <c r="AW44" s="462"/>
      <c r="AX44" s="457" t="str">
        <f>IF(AND('Mapa final'!$K$139="Alta",'Mapa final'!$O$139="Catastrófico"),CONCATENATE("R",'Mapa final'!$A$139),"")</f>
        <v/>
      </c>
      <c r="AY44" s="455"/>
      <c r="AZ44" s="455" t="str">
        <f>IF(AND('Mapa final'!$K$142="Alta",'Mapa final'!$O$142="Catastrófico"),CONCATENATE("R",'Mapa final'!$A$142),"")</f>
        <v/>
      </c>
      <c r="BA44" s="455"/>
      <c r="BB44" s="455" t="str">
        <f>IF(AND('Mapa final'!$K$145="Alta",'Mapa final'!$O$145="Catastrófico"),CONCATENATE("R",'Mapa final'!$A$145),"")</f>
        <v/>
      </c>
      <c r="BC44" s="455"/>
      <c r="BD44" s="455" t="str">
        <f>IF(AND('Mapa final'!$K$148="Alta",'Mapa final'!$O$148="Catastrófico"),CONCATENATE("R",'Mapa final'!$A$148),"")</f>
        <v/>
      </c>
      <c r="BE44" s="455"/>
      <c r="BF44" s="455" t="str">
        <f>IF(AND('Mapa final'!$K$151="Alta",'Mapa final'!$O$151="Catastrófico"),CONCATENATE("R",'Mapa final'!$A$151),"")</f>
        <v/>
      </c>
      <c r="BG44" s="456"/>
      <c r="BH44" s="56"/>
      <c r="BI44" s="498"/>
      <c r="BJ44" s="499"/>
      <c r="BK44" s="499"/>
      <c r="BL44" s="499"/>
      <c r="BM44" s="499"/>
      <c r="BN44" s="500"/>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row>
    <row r="45" spans="1:100" ht="15" customHeight="1" thickBot="1" x14ac:dyDescent="0.4">
      <c r="A45" s="56"/>
      <c r="B45" s="300"/>
      <c r="C45" s="300"/>
      <c r="D45" s="301"/>
      <c r="E45" s="524"/>
      <c r="F45" s="525"/>
      <c r="G45" s="525"/>
      <c r="H45" s="525"/>
      <c r="I45" s="526"/>
      <c r="J45" s="470"/>
      <c r="K45" s="471"/>
      <c r="L45" s="471"/>
      <c r="M45" s="471"/>
      <c r="N45" s="471"/>
      <c r="O45" s="471"/>
      <c r="P45" s="471"/>
      <c r="Q45" s="471"/>
      <c r="R45" s="471"/>
      <c r="S45" s="472"/>
      <c r="T45" s="470"/>
      <c r="U45" s="471"/>
      <c r="V45" s="471"/>
      <c r="W45" s="471"/>
      <c r="X45" s="471"/>
      <c r="Y45" s="471"/>
      <c r="Z45" s="471"/>
      <c r="AA45" s="471"/>
      <c r="AB45" s="471"/>
      <c r="AC45" s="472"/>
      <c r="AD45" s="464"/>
      <c r="AE45" s="465"/>
      <c r="AF45" s="465"/>
      <c r="AG45" s="465"/>
      <c r="AH45" s="465"/>
      <c r="AI45" s="465"/>
      <c r="AJ45" s="465"/>
      <c r="AK45" s="465"/>
      <c r="AL45" s="465"/>
      <c r="AM45" s="466"/>
      <c r="AN45" s="464"/>
      <c r="AO45" s="465"/>
      <c r="AP45" s="465"/>
      <c r="AQ45" s="465"/>
      <c r="AR45" s="465"/>
      <c r="AS45" s="465"/>
      <c r="AT45" s="465"/>
      <c r="AU45" s="465"/>
      <c r="AV45" s="465"/>
      <c r="AW45" s="466"/>
      <c r="AX45" s="477"/>
      <c r="AY45" s="476"/>
      <c r="AZ45" s="476"/>
      <c r="BA45" s="476"/>
      <c r="BB45" s="476"/>
      <c r="BC45" s="476"/>
      <c r="BD45" s="476"/>
      <c r="BE45" s="476"/>
      <c r="BF45" s="476"/>
      <c r="BG45" s="478"/>
      <c r="BH45" s="56"/>
      <c r="BI45" s="498"/>
      <c r="BJ45" s="499"/>
      <c r="BK45" s="499"/>
      <c r="BL45" s="499"/>
      <c r="BM45" s="499"/>
      <c r="BN45" s="500"/>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row>
    <row r="46" spans="1:100" ht="15" customHeight="1" x14ac:dyDescent="0.35">
      <c r="A46" s="56"/>
      <c r="B46" s="300"/>
      <c r="C46" s="300"/>
      <c r="D46" s="301"/>
      <c r="E46" s="522" t="s">
        <v>108</v>
      </c>
      <c r="F46" s="523"/>
      <c r="G46" s="523"/>
      <c r="H46" s="523"/>
      <c r="I46" s="523"/>
      <c r="J46" s="467" t="str">
        <f>IF(AND('Mapa final'!$K$7="Media",'Mapa final'!$O$7="Leve"),CONCATENATE("R",'Mapa final'!$A$7),"")</f>
        <v/>
      </c>
      <c r="K46" s="468"/>
      <c r="L46" s="468" t="str">
        <f>IF(AND('Mapa final'!$K$10="Media",'Mapa final'!$O$10="Leve"),CONCATENATE("R",'Mapa final'!$A$10),"")</f>
        <v/>
      </c>
      <c r="M46" s="468"/>
      <c r="N46" s="468" t="str">
        <f>IF(AND('Mapa final'!$K$13="Media",'Mapa final'!$O$13="Leve"),CONCATENATE("R",'Mapa final'!$A$13),"")</f>
        <v/>
      </c>
      <c r="O46" s="468"/>
      <c r="P46" s="468" t="e">
        <f>IF(AND('Mapa final'!#REF!="Media",'Mapa final'!#REF!="Leve"),CONCATENATE("R",'Mapa final'!#REF!),"")</f>
        <v>#REF!</v>
      </c>
      <c r="Q46" s="468"/>
      <c r="R46" s="468" t="str">
        <f>IF(AND('Mapa final'!$K$16="Media",'Mapa final'!$O$16="Leve"),CONCATENATE("R",'Mapa final'!$A$16),"")</f>
        <v/>
      </c>
      <c r="S46" s="469"/>
      <c r="T46" s="467" t="str">
        <f>IF(AND('Mapa final'!$K$7="Media",'Mapa final'!$O$7="Menor"),CONCATENATE("R",'Mapa final'!$A$7),"")</f>
        <v/>
      </c>
      <c r="U46" s="468"/>
      <c r="V46" s="468" t="str">
        <f>IF(AND('Mapa final'!$K$10="Media",'Mapa final'!$O$10="Menor"),CONCATENATE("R",'Mapa final'!$A$10),"")</f>
        <v/>
      </c>
      <c r="W46" s="468"/>
      <c r="X46" s="468" t="str">
        <f>IF(AND('Mapa final'!$K$13="Media",'Mapa final'!$O$13="Menor"),CONCATENATE("R",'Mapa final'!$A$13),"")</f>
        <v/>
      </c>
      <c r="Y46" s="468"/>
      <c r="Z46" s="468" t="e">
        <f>IF(AND('Mapa final'!#REF!="Media",'Mapa final'!#REF!="Menor"),CONCATENATE("R",'Mapa final'!#REF!),"")</f>
        <v>#REF!</v>
      </c>
      <c r="AA46" s="468"/>
      <c r="AB46" s="468" t="str">
        <f>IF(AND('Mapa final'!$K$16="Media",'Mapa final'!$O$16="Menor"),CONCATENATE("R",'Mapa final'!$A$16),"")</f>
        <v/>
      </c>
      <c r="AC46" s="469"/>
      <c r="AD46" s="467" t="str">
        <f>IF(AND('Mapa final'!$K$7="Media",'Mapa final'!$O$7="Moderado"),CONCATENATE("R",'Mapa final'!$A$7),"")</f>
        <v/>
      </c>
      <c r="AE46" s="468"/>
      <c r="AF46" s="468" t="str">
        <f>IF(AND('Mapa final'!$K$10="Media",'Mapa final'!$O$10="Moderado"),CONCATENATE("R",'Mapa final'!$A$10),"")</f>
        <v>R2</v>
      </c>
      <c r="AG46" s="468"/>
      <c r="AH46" s="468" t="str">
        <f>IF(AND('Mapa final'!$K$13="Media",'Mapa final'!$O$13="Moderado"),CONCATENATE("R",'Mapa final'!$A$13),"")</f>
        <v/>
      </c>
      <c r="AI46" s="468"/>
      <c r="AJ46" s="468" t="e">
        <f>IF(AND('Mapa final'!#REF!="Media",'Mapa final'!#REF!="Moderado"),CONCATENATE("R",'Mapa final'!#REF!),"")</f>
        <v>#REF!</v>
      </c>
      <c r="AK46" s="468"/>
      <c r="AL46" s="468" t="str">
        <f>IF(AND('Mapa final'!$K$16="Media",'Mapa final'!$O$16="Moderado"),CONCATENATE("R",'Mapa final'!$A$16),"")</f>
        <v>R4</v>
      </c>
      <c r="AM46" s="469"/>
      <c r="AN46" s="473" t="str">
        <f>IF(AND('Mapa final'!$K$7="Media",'Mapa final'!$O$7="Mayor"),CONCATENATE("R",'Mapa final'!$A$7),"")</f>
        <v/>
      </c>
      <c r="AO46" s="474"/>
      <c r="AP46" s="474" t="str">
        <f>IF(AND('Mapa final'!$K$10="Media",'Mapa final'!$O$10="Mayor"),CONCATENATE("R",'Mapa final'!$A$10),"")</f>
        <v/>
      </c>
      <c r="AQ46" s="474"/>
      <c r="AR46" s="474" t="str">
        <f>IF(AND('Mapa final'!$K$13="Media",'Mapa final'!$O$13="Mayor"),CONCATENATE("R",'Mapa final'!$A$13),"")</f>
        <v/>
      </c>
      <c r="AS46" s="474"/>
      <c r="AT46" s="474" t="e">
        <f>IF(AND('Mapa final'!#REF!="Media",'Mapa final'!#REF!="Mayor"),CONCATENATE("R",'Mapa final'!#REF!),"")</f>
        <v>#REF!</v>
      </c>
      <c r="AU46" s="474"/>
      <c r="AV46" s="474" t="str">
        <f>IF(AND('Mapa final'!$K$16="Media",'Mapa final'!$O$16="Mayor"),CONCATENATE("R",'Mapa final'!$A$16),"")</f>
        <v/>
      </c>
      <c r="AW46" s="475"/>
      <c r="AX46" s="480" t="str">
        <f>IF(AND('Mapa final'!$K$7="Media",'Mapa final'!$O$7="Catastrófico"),CONCATENATE("R",'Mapa final'!$A$7),"")</f>
        <v/>
      </c>
      <c r="AY46" s="479"/>
      <c r="AZ46" s="479" t="str">
        <f>IF(AND('Mapa final'!$K$10="Media",'Mapa final'!$O$10="Catastrófico"),CONCATENATE("R",'Mapa final'!$A$10),"")</f>
        <v/>
      </c>
      <c r="BA46" s="479"/>
      <c r="BB46" s="479" t="str">
        <f>IF(AND('Mapa final'!$K$13="Media",'Mapa final'!$O$13="Catastrófico"),CONCATENATE("R",'Mapa final'!$A$13),"")</f>
        <v/>
      </c>
      <c r="BC46" s="479"/>
      <c r="BD46" s="479" t="e">
        <f>IF(AND('Mapa final'!#REF!="Media",'Mapa final'!#REF!="Catastrófico"),CONCATENATE("R",'Mapa final'!#REF!),"")</f>
        <v>#REF!</v>
      </c>
      <c r="BE46" s="479"/>
      <c r="BF46" s="479" t="str">
        <f>IF(AND('Mapa final'!$K$16="Media",'Mapa final'!$O$16="Catastrófico"),CONCATENATE("R",'Mapa final'!$A$16),"")</f>
        <v/>
      </c>
      <c r="BG46" s="536"/>
      <c r="BH46" s="56"/>
      <c r="BI46" s="498"/>
      <c r="BJ46" s="499"/>
      <c r="BK46" s="499"/>
      <c r="BL46" s="499"/>
      <c r="BM46" s="499"/>
      <c r="BN46" s="500"/>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row>
    <row r="47" spans="1:100" ht="15" customHeight="1" x14ac:dyDescent="0.35">
      <c r="A47" s="56"/>
      <c r="B47" s="300"/>
      <c r="C47" s="300"/>
      <c r="D47" s="301"/>
      <c r="E47" s="524"/>
      <c r="F47" s="525"/>
      <c r="G47" s="525"/>
      <c r="H47" s="525"/>
      <c r="I47" s="526"/>
      <c r="J47" s="460"/>
      <c r="K47" s="458"/>
      <c r="L47" s="458"/>
      <c r="M47" s="458"/>
      <c r="N47" s="458"/>
      <c r="O47" s="458"/>
      <c r="P47" s="458"/>
      <c r="Q47" s="458"/>
      <c r="R47" s="458"/>
      <c r="S47" s="459"/>
      <c r="T47" s="460"/>
      <c r="U47" s="458"/>
      <c r="V47" s="458"/>
      <c r="W47" s="458"/>
      <c r="X47" s="458"/>
      <c r="Y47" s="458"/>
      <c r="Z47" s="458"/>
      <c r="AA47" s="458"/>
      <c r="AB47" s="458"/>
      <c r="AC47" s="459"/>
      <c r="AD47" s="460"/>
      <c r="AE47" s="458"/>
      <c r="AF47" s="458"/>
      <c r="AG47" s="458"/>
      <c r="AH47" s="458"/>
      <c r="AI47" s="458"/>
      <c r="AJ47" s="458"/>
      <c r="AK47" s="458"/>
      <c r="AL47" s="458"/>
      <c r="AM47" s="459"/>
      <c r="AN47" s="463"/>
      <c r="AO47" s="461"/>
      <c r="AP47" s="461"/>
      <c r="AQ47" s="461"/>
      <c r="AR47" s="461"/>
      <c r="AS47" s="461"/>
      <c r="AT47" s="461"/>
      <c r="AU47" s="461"/>
      <c r="AV47" s="461"/>
      <c r="AW47" s="462"/>
      <c r="AX47" s="457"/>
      <c r="AY47" s="455"/>
      <c r="AZ47" s="455"/>
      <c r="BA47" s="455"/>
      <c r="BB47" s="455"/>
      <c r="BC47" s="455"/>
      <c r="BD47" s="455"/>
      <c r="BE47" s="455"/>
      <c r="BF47" s="455"/>
      <c r="BG47" s="456"/>
      <c r="BH47" s="56"/>
      <c r="BI47" s="498"/>
      <c r="BJ47" s="499"/>
      <c r="BK47" s="499"/>
      <c r="BL47" s="499"/>
      <c r="BM47" s="499"/>
      <c r="BN47" s="500"/>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row>
    <row r="48" spans="1:100" ht="15" customHeight="1" x14ac:dyDescent="0.35">
      <c r="A48" s="56"/>
      <c r="B48" s="300"/>
      <c r="C48" s="300"/>
      <c r="D48" s="301"/>
      <c r="E48" s="524"/>
      <c r="F48" s="525"/>
      <c r="G48" s="525"/>
      <c r="H48" s="525"/>
      <c r="I48" s="526"/>
      <c r="J48" s="460" t="str">
        <f>IF(AND('Mapa final'!$K$19="Media",'Mapa final'!$O$19="Leve"),CONCATENATE("R",'Mapa final'!$A$19),"")</f>
        <v/>
      </c>
      <c r="K48" s="458"/>
      <c r="L48" s="458" t="str">
        <f>IF(AND('Mapa final'!$K$22="Media",'Mapa final'!$O$22="Leve"),CONCATENATE("R",'Mapa final'!$A$22),"")</f>
        <v/>
      </c>
      <c r="M48" s="458"/>
      <c r="N48" s="458" t="str">
        <f>IF(AND('Mapa final'!$K$25="Media",'Mapa final'!$O$25="Leve"),CONCATENATE("R",'Mapa final'!$A$25),"")</f>
        <v/>
      </c>
      <c r="O48" s="458"/>
      <c r="P48" s="458" t="str">
        <f>IF(AND('Mapa final'!$K$28="Media",'Mapa final'!$O$28="Leve"),CONCATENATE("R",'Mapa final'!$A$28),"")</f>
        <v/>
      </c>
      <c r="Q48" s="458"/>
      <c r="R48" s="458" t="str">
        <f>IF(AND('Mapa final'!$K$31="Media",'Mapa final'!$O$31="Leve"),CONCATENATE("R",'Mapa final'!$A$31),"")</f>
        <v/>
      </c>
      <c r="S48" s="459"/>
      <c r="T48" s="460" t="str">
        <f>IF(AND('Mapa final'!$K$19="Media",'Mapa final'!$O$19="Menor"),CONCATENATE("R",'Mapa final'!$A$19),"")</f>
        <v/>
      </c>
      <c r="U48" s="458"/>
      <c r="V48" s="458" t="str">
        <f>IF(AND('Mapa final'!$K$22="Media",'Mapa final'!$O$22="Menor"),CONCATENATE("R",'Mapa final'!$A$22),"")</f>
        <v/>
      </c>
      <c r="W48" s="458"/>
      <c r="X48" s="458" t="str">
        <f>IF(AND('Mapa final'!$K$25="Media",'Mapa final'!$O$25="Menor"),CONCATENATE("R",'Mapa final'!$A$25),"")</f>
        <v/>
      </c>
      <c r="Y48" s="458"/>
      <c r="Z48" s="458" t="str">
        <f>IF(AND('Mapa final'!$K$28="Media",'Mapa final'!$O$28="Menor"),CONCATENATE("R",'Mapa final'!$A$28),"")</f>
        <v/>
      </c>
      <c r="AA48" s="458"/>
      <c r="AB48" s="458" t="str">
        <f>IF(AND('Mapa final'!$K$31="Media",'Mapa final'!$O$31="Menor"),CONCATENATE("R",'Mapa final'!$A$31),"")</f>
        <v/>
      </c>
      <c r="AC48" s="459"/>
      <c r="AD48" s="460" t="str">
        <f>IF(AND('Mapa final'!$K$19="Media",'Mapa final'!$O$19="Moderado"),CONCATENATE("R",'Mapa final'!$A$19),"")</f>
        <v/>
      </c>
      <c r="AE48" s="458"/>
      <c r="AF48" s="458" t="str">
        <f>IF(AND('Mapa final'!$K$22="Media",'Mapa final'!$O$22="Moderado"),CONCATENATE("R",'Mapa final'!$A$22),"")</f>
        <v/>
      </c>
      <c r="AG48" s="458"/>
      <c r="AH48" s="458" t="str">
        <f>IF(AND('Mapa final'!$K$25="Media",'Mapa final'!$O$25="Moderado"),CONCATENATE("R",'Mapa final'!$A$25),"")</f>
        <v/>
      </c>
      <c r="AI48" s="458"/>
      <c r="AJ48" s="458" t="str">
        <f>IF(AND('Mapa final'!$K$28="Media",'Mapa final'!$O$28="Moderado"),CONCATENATE("R",'Mapa final'!$A$28),"")</f>
        <v/>
      </c>
      <c r="AK48" s="458"/>
      <c r="AL48" s="458" t="str">
        <f>IF(AND('Mapa final'!$K$31="Media",'Mapa final'!$O$31="Moderado"),CONCATENATE("R",'Mapa final'!$A$31),"")</f>
        <v/>
      </c>
      <c r="AM48" s="459"/>
      <c r="AN48" s="463" t="str">
        <f>IF(AND('Mapa final'!$K$19="Media",'Mapa final'!$O$19="Mayor"),CONCATENATE("R",'Mapa final'!$A$19),"")</f>
        <v/>
      </c>
      <c r="AO48" s="461"/>
      <c r="AP48" s="461" t="str">
        <f>IF(AND('Mapa final'!$K$22="Media",'Mapa final'!$O$22="Mayor"),CONCATENATE("R",'Mapa final'!$A$22),"")</f>
        <v/>
      </c>
      <c r="AQ48" s="461"/>
      <c r="AR48" s="461" t="str">
        <f>IF(AND('Mapa final'!$K$25="Media",'Mapa final'!$O$25="Mayor"),CONCATENATE("R",'Mapa final'!$A$25),"")</f>
        <v/>
      </c>
      <c r="AS48" s="461"/>
      <c r="AT48" s="461" t="str">
        <f>IF(AND('Mapa final'!$K$28="Media",'Mapa final'!$O$28="Mayor"),CONCATENATE("R",'Mapa final'!$A$28),"")</f>
        <v/>
      </c>
      <c r="AU48" s="461"/>
      <c r="AV48" s="461" t="str">
        <f>IF(AND('Mapa final'!$K$31="Media",'Mapa final'!$O$31="Mayor"),CONCATENATE("R",'Mapa final'!$A$31),"")</f>
        <v/>
      </c>
      <c r="AW48" s="462"/>
      <c r="AX48" s="457" t="str">
        <f>IF(AND('Mapa final'!$K$19="Media",'Mapa final'!$O$19="Catastrófico"),CONCATENATE("R",'Mapa final'!$A$19),"")</f>
        <v/>
      </c>
      <c r="AY48" s="455"/>
      <c r="AZ48" s="455" t="str">
        <f>IF(AND('Mapa final'!$K$22="Media",'Mapa final'!$O$22="Catastrófico"),CONCATENATE("R",'Mapa final'!$A$22),"")</f>
        <v/>
      </c>
      <c r="BA48" s="455"/>
      <c r="BB48" s="455" t="str">
        <f>IF(AND('Mapa final'!$K$25="Media",'Mapa final'!$O$25="Catastrófico"),CONCATENATE("R",'Mapa final'!$A$25),"")</f>
        <v/>
      </c>
      <c r="BC48" s="455"/>
      <c r="BD48" s="455" t="str">
        <f>IF(AND('Mapa final'!$K$28="Media",'Mapa final'!$O$28="Catastrófico"),CONCATENATE("R",'Mapa final'!$A$28),"")</f>
        <v/>
      </c>
      <c r="BE48" s="455"/>
      <c r="BF48" s="455" t="str">
        <f>IF(AND('Mapa final'!$K$31="Media",'Mapa final'!$O$31="Catastrófico"),CONCATENATE("R",'Mapa final'!$A$31),"")</f>
        <v/>
      </c>
      <c r="BG48" s="456"/>
      <c r="BH48" s="56"/>
      <c r="BI48" s="498"/>
      <c r="BJ48" s="499"/>
      <c r="BK48" s="499"/>
      <c r="BL48" s="499"/>
      <c r="BM48" s="499"/>
      <c r="BN48" s="500"/>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row>
    <row r="49" spans="1:100" ht="15" customHeight="1" x14ac:dyDescent="0.35">
      <c r="A49" s="56"/>
      <c r="B49" s="300"/>
      <c r="C49" s="300"/>
      <c r="D49" s="301"/>
      <c r="E49" s="524"/>
      <c r="F49" s="525"/>
      <c r="G49" s="525"/>
      <c r="H49" s="525"/>
      <c r="I49" s="526"/>
      <c r="J49" s="460"/>
      <c r="K49" s="458"/>
      <c r="L49" s="458"/>
      <c r="M49" s="458"/>
      <c r="N49" s="458"/>
      <c r="O49" s="458"/>
      <c r="P49" s="458"/>
      <c r="Q49" s="458"/>
      <c r="R49" s="458"/>
      <c r="S49" s="459"/>
      <c r="T49" s="460"/>
      <c r="U49" s="458"/>
      <c r="V49" s="458"/>
      <c r="W49" s="458"/>
      <c r="X49" s="458"/>
      <c r="Y49" s="458"/>
      <c r="Z49" s="458"/>
      <c r="AA49" s="458"/>
      <c r="AB49" s="458"/>
      <c r="AC49" s="459"/>
      <c r="AD49" s="460"/>
      <c r="AE49" s="458"/>
      <c r="AF49" s="458"/>
      <c r="AG49" s="458"/>
      <c r="AH49" s="458"/>
      <c r="AI49" s="458"/>
      <c r="AJ49" s="458"/>
      <c r="AK49" s="458"/>
      <c r="AL49" s="458"/>
      <c r="AM49" s="459"/>
      <c r="AN49" s="463"/>
      <c r="AO49" s="461"/>
      <c r="AP49" s="461"/>
      <c r="AQ49" s="461"/>
      <c r="AR49" s="461"/>
      <c r="AS49" s="461"/>
      <c r="AT49" s="461"/>
      <c r="AU49" s="461"/>
      <c r="AV49" s="461"/>
      <c r="AW49" s="462"/>
      <c r="AX49" s="457"/>
      <c r="AY49" s="455"/>
      <c r="AZ49" s="455"/>
      <c r="BA49" s="455"/>
      <c r="BB49" s="455"/>
      <c r="BC49" s="455"/>
      <c r="BD49" s="455"/>
      <c r="BE49" s="455"/>
      <c r="BF49" s="455"/>
      <c r="BG49" s="456"/>
      <c r="BH49" s="56"/>
      <c r="BI49" s="498"/>
      <c r="BJ49" s="499"/>
      <c r="BK49" s="499"/>
      <c r="BL49" s="499"/>
      <c r="BM49" s="499"/>
      <c r="BN49" s="500"/>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row>
    <row r="50" spans="1:100" ht="15" customHeight="1" x14ac:dyDescent="0.35">
      <c r="A50" s="56"/>
      <c r="B50" s="300"/>
      <c r="C50" s="300"/>
      <c r="D50" s="301"/>
      <c r="E50" s="524"/>
      <c r="F50" s="525"/>
      <c r="G50" s="525"/>
      <c r="H50" s="525"/>
      <c r="I50" s="526"/>
      <c r="J50" s="460" t="str">
        <f>IF(AND('Mapa final'!$K$34="Media",'Mapa final'!$O$34="Leve"),CONCATENATE("R",'Mapa final'!$A$34),"")</f>
        <v/>
      </c>
      <c r="K50" s="458"/>
      <c r="L50" s="458" t="str">
        <f>IF(AND('Mapa final'!$K$37="Media",'Mapa final'!$O$37="Leve"),CONCATENATE("R",'Mapa final'!$A$37),"")</f>
        <v/>
      </c>
      <c r="M50" s="458"/>
      <c r="N50" s="458" t="str">
        <f>IF(AND('Mapa final'!$K$40="Media",'Mapa final'!$O$40="Leve"),CONCATENATE("R",'Mapa final'!$A$40),"")</f>
        <v/>
      </c>
      <c r="O50" s="458"/>
      <c r="P50" s="458" t="str">
        <f>IF(AND('Mapa final'!$K$43="Media",'Mapa final'!$O$43="Leve"),CONCATENATE("R",'Mapa final'!$A$43),"")</f>
        <v/>
      </c>
      <c r="Q50" s="458"/>
      <c r="R50" s="458" t="str">
        <f>IF(AND('Mapa final'!$K$46="Media",'Mapa final'!$O$46="Leve"),CONCATENATE("R",'Mapa final'!$A$46),"")</f>
        <v/>
      </c>
      <c r="S50" s="459"/>
      <c r="T50" s="460" t="str">
        <f>IF(AND('Mapa final'!$K$34="Media",'Mapa final'!$O$34="Menor"),CONCATENATE("R",'Mapa final'!$A$34),"")</f>
        <v/>
      </c>
      <c r="U50" s="458"/>
      <c r="V50" s="458" t="str">
        <f>IF(AND('Mapa final'!$K$37="Media",'Mapa final'!$O$37="Menor"),CONCATENATE("R",'Mapa final'!$A$37),"")</f>
        <v/>
      </c>
      <c r="W50" s="458"/>
      <c r="X50" s="458" t="str">
        <f>IF(AND('Mapa final'!$K$40="Media",'Mapa final'!$O$40="Menor"),CONCATENATE("R",'Mapa final'!$A$40),"")</f>
        <v/>
      </c>
      <c r="Y50" s="458"/>
      <c r="Z50" s="458" t="str">
        <f>IF(AND('Mapa final'!$K$43="Media",'Mapa final'!$O$43="Menor"),CONCATENATE("R",'Mapa final'!$A$43),"")</f>
        <v/>
      </c>
      <c r="AA50" s="458"/>
      <c r="AB50" s="458" t="str">
        <f>IF(AND('Mapa final'!$K$46="Media",'Mapa final'!$O$46="Menor"),CONCATENATE("R",'Mapa final'!$A$46),"")</f>
        <v/>
      </c>
      <c r="AC50" s="459"/>
      <c r="AD50" s="460" t="str">
        <f>IF(AND('Mapa final'!$K$34="Media",'Mapa final'!$O$34="Moderado"),CONCATENATE("R",'Mapa final'!$A$34),"")</f>
        <v/>
      </c>
      <c r="AE50" s="458"/>
      <c r="AF50" s="458" t="str">
        <f>IF(AND('Mapa final'!$K$37="Media",'Mapa final'!$O$37="Moderado"),CONCATENATE("R",'Mapa final'!$A$37),"")</f>
        <v/>
      </c>
      <c r="AG50" s="458"/>
      <c r="AH50" s="458" t="str">
        <f>IF(AND('Mapa final'!$K$40="Media",'Mapa final'!$O$40="Moderado"),CONCATENATE("R",'Mapa final'!$A$40),"")</f>
        <v/>
      </c>
      <c r="AI50" s="458"/>
      <c r="AJ50" s="458" t="str">
        <f>IF(AND('Mapa final'!$K$43="Media",'Mapa final'!$O$43="Moderado"),CONCATENATE("R",'Mapa final'!$A$43),"")</f>
        <v/>
      </c>
      <c r="AK50" s="458"/>
      <c r="AL50" s="458" t="str">
        <f>IF(AND('Mapa final'!$K$46="Media",'Mapa final'!$O$46="Moderado"),CONCATENATE("R",'Mapa final'!$A$46),"")</f>
        <v/>
      </c>
      <c r="AM50" s="459"/>
      <c r="AN50" s="463" t="str">
        <f>IF(AND('Mapa final'!$K$34="Media",'Mapa final'!$O$34="Mayor"),CONCATENATE("R",'Mapa final'!$A$34),"")</f>
        <v/>
      </c>
      <c r="AO50" s="461"/>
      <c r="AP50" s="461" t="str">
        <f>IF(AND('Mapa final'!$K$37="Media",'Mapa final'!$O$37="Mayor"),CONCATENATE("R",'Mapa final'!$A$37),"")</f>
        <v/>
      </c>
      <c r="AQ50" s="461"/>
      <c r="AR50" s="461" t="str">
        <f>IF(AND('Mapa final'!$K$40="Media",'Mapa final'!$O$40="Mayor"),CONCATENATE("R",'Mapa final'!$A$40),"")</f>
        <v/>
      </c>
      <c r="AS50" s="461"/>
      <c r="AT50" s="461" t="str">
        <f>IF(AND('Mapa final'!$K$43="Media",'Mapa final'!$O$43="Mayor"),CONCATENATE("R",'Mapa final'!$A$43),"")</f>
        <v/>
      </c>
      <c r="AU50" s="461"/>
      <c r="AV50" s="461" t="str">
        <f>IF(AND('Mapa final'!$K$46="Media",'Mapa final'!$O$46="Mayor"),CONCATENATE("R",'Mapa final'!$A$46),"")</f>
        <v/>
      </c>
      <c r="AW50" s="462"/>
      <c r="AX50" s="457" t="str">
        <f>IF(AND('Mapa final'!$K$34="Media",'Mapa final'!$O$34="Catastrófico"),CONCATENATE("R",'Mapa final'!$A$34),"")</f>
        <v/>
      </c>
      <c r="AY50" s="455"/>
      <c r="AZ50" s="455" t="str">
        <f>IF(AND('Mapa final'!$K$37="Media",'Mapa final'!$O$37="Catastrófico"),CONCATENATE("R",'Mapa final'!$A$37),"")</f>
        <v/>
      </c>
      <c r="BA50" s="455"/>
      <c r="BB50" s="455" t="str">
        <f>IF(AND('Mapa final'!$K$40="Media",'Mapa final'!$O$40="Catastrófico"),CONCATENATE("R",'Mapa final'!$A$40),"")</f>
        <v/>
      </c>
      <c r="BC50" s="455"/>
      <c r="BD50" s="455" t="str">
        <f>IF(AND('Mapa final'!$K$43="Media",'Mapa final'!$O$43="Catastrófico"),CONCATENATE("R",'Mapa final'!$A$43),"")</f>
        <v/>
      </c>
      <c r="BE50" s="455"/>
      <c r="BF50" s="455" t="str">
        <f>IF(AND('Mapa final'!$K$46="Media",'Mapa final'!$O$46="Catastrófico"),CONCATENATE("R",'Mapa final'!$A$46),"")</f>
        <v/>
      </c>
      <c r="BG50" s="456"/>
      <c r="BH50" s="56"/>
      <c r="BI50" s="498"/>
      <c r="BJ50" s="499"/>
      <c r="BK50" s="499"/>
      <c r="BL50" s="499"/>
      <c r="BM50" s="499"/>
      <c r="BN50" s="500"/>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row>
    <row r="51" spans="1:100" ht="15" customHeight="1" x14ac:dyDescent="0.35">
      <c r="A51" s="56"/>
      <c r="B51" s="300"/>
      <c r="C51" s="300"/>
      <c r="D51" s="301"/>
      <c r="E51" s="524"/>
      <c r="F51" s="525"/>
      <c r="G51" s="525"/>
      <c r="H51" s="525"/>
      <c r="I51" s="526"/>
      <c r="J51" s="460"/>
      <c r="K51" s="458"/>
      <c r="L51" s="458"/>
      <c r="M51" s="458"/>
      <c r="N51" s="458"/>
      <c r="O51" s="458"/>
      <c r="P51" s="458"/>
      <c r="Q51" s="458"/>
      <c r="R51" s="458"/>
      <c r="S51" s="459"/>
      <c r="T51" s="460"/>
      <c r="U51" s="458"/>
      <c r="V51" s="458"/>
      <c r="W51" s="458"/>
      <c r="X51" s="458"/>
      <c r="Y51" s="458"/>
      <c r="Z51" s="458"/>
      <c r="AA51" s="458"/>
      <c r="AB51" s="458"/>
      <c r="AC51" s="459"/>
      <c r="AD51" s="460"/>
      <c r="AE51" s="458"/>
      <c r="AF51" s="458"/>
      <c r="AG51" s="458"/>
      <c r="AH51" s="458"/>
      <c r="AI51" s="458"/>
      <c r="AJ51" s="458"/>
      <c r="AK51" s="458"/>
      <c r="AL51" s="458"/>
      <c r="AM51" s="459"/>
      <c r="AN51" s="463"/>
      <c r="AO51" s="461"/>
      <c r="AP51" s="461"/>
      <c r="AQ51" s="461"/>
      <c r="AR51" s="461"/>
      <c r="AS51" s="461"/>
      <c r="AT51" s="461"/>
      <c r="AU51" s="461"/>
      <c r="AV51" s="461"/>
      <c r="AW51" s="462"/>
      <c r="AX51" s="457"/>
      <c r="AY51" s="455"/>
      <c r="AZ51" s="455"/>
      <c r="BA51" s="455"/>
      <c r="BB51" s="455"/>
      <c r="BC51" s="455"/>
      <c r="BD51" s="455"/>
      <c r="BE51" s="455"/>
      <c r="BF51" s="455"/>
      <c r="BG51" s="456"/>
      <c r="BH51" s="56"/>
      <c r="BI51" s="498"/>
      <c r="BJ51" s="499"/>
      <c r="BK51" s="499"/>
      <c r="BL51" s="499"/>
      <c r="BM51" s="499"/>
      <c r="BN51" s="500"/>
      <c r="BO51" s="56"/>
      <c r="BP51" s="56"/>
      <c r="BQ51" s="56"/>
      <c r="BR51" s="56"/>
      <c r="BS51" s="56"/>
      <c r="BT51" s="56"/>
      <c r="BU51" s="56"/>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row>
    <row r="52" spans="1:100" ht="15" customHeight="1" x14ac:dyDescent="0.35">
      <c r="A52" s="56"/>
      <c r="B52" s="300"/>
      <c r="C52" s="300"/>
      <c r="D52" s="301"/>
      <c r="E52" s="524"/>
      <c r="F52" s="525"/>
      <c r="G52" s="525"/>
      <c r="H52" s="525"/>
      <c r="I52" s="526"/>
      <c r="J52" s="460" t="str">
        <f>IF(AND('Mapa final'!$K$49="Media",'Mapa final'!$O$49="Leve"),CONCATENATE("R",'Mapa final'!$A$49),"")</f>
        <v/>
      </c>
      <c r="K52" s="458"/>
      <c r="L52" s="458" t="str">
        <f>IF(AND('Mapa final'!$K$52="Media",'Mapa final'!$O$52="Leve"),CONCATENATE("R",'Mapa final'!$A$52),"")</f>
        <v/>
      </c>
      <c r="M52" s="458"/>
      <c r="N52" s="458" t="str">
        <f>IF(AND('Mapa final'!$K$55="Media",'Mapa final'!$O$55="Leve"),CONCATENATE("R",'Mapa final'!$A$55),"")</f>
        <v/>
      </c>
      <c r="O52" s="458"/>
      <c r="P52" s="458" t="str">
        <f>IF(AND('Mapa final'!$K$58="Media",'Mapa final'!$O$58="Leve"),CONCATENATE("R",'Mapa final'!$A$58),"")</f>
        <v/>
      </c>
      <c r="Q52" s="458"/>
      <c r="R52" s="458" t="str">
        <f>IF(AND('Mapa final'!$K$61="Media",'Mapa final'!$O$61="Leve"),CONCATENATE("R",'Mapa final'!$A$61),"")</f>
        <v/>
      </c>
      <c r="S52" s="459"/>
      <c r="T52" s="460" t="str">
        <f>IF(AND('Mapa final'!$K$49="Media",'Mapa final'!$O$49="Menor"),CONCATENATE("R",'Mapa final'!$A$49),"")</f>
        <v/>
      </c>
      <c r="U52" s="458"/>
      <c r="V52" s="458" t="str">
        <f>IF(AND('Mapa final'!$K$52="Media",'Mapa final'!$O$52="Menor"),CONCATENATE("R",'Mapa final'!$A$52),"")</f>
        <v/>
      </c>
      <c r="W52" s="458"/>
      <c r="X52" s="458" t="str">
        <f>IF(AND('Mapa final'!$K$55="Media",'Mapa final'!$O$55="Menor"),CONCATENATE("R",'Mapa final'!$A$55),"")</f>
        <v/>
      </c>
      <c r="Y52" s="458"/>
      <c r="Z52" s="458" t="str">
        <f>IF(AND('Mapa final'!$K$58="Media",'Mapa final'!$O$58="Menor"),CONCATENATE("R",'Mapa final'!$A$58),"")</f>
        <v/>
      </c>
      <c r="AA52" s="458"/>
      <c r="AB52" s="458" t="str">
        <f>IF(AND('Mapa final'!$K$61="Media",'Mapa final'!$O$61="Menor"),CONCATENATE("R",'Mapa final'!$A$61),"")</f>
        <v/>
      </c>
      <c r="AC52" s="459"/>
      <c r="AD52" s="460" t="str">
        <f>IF(AND('Mapa final'!$K$49="Media",'Mapa final'!$O$49="Moderado"),CONCATENATE("R",'Mapa final'!$A$49),"")</f>
        <v>R15</v>
      </c>
      <c r="AE52" s="458"/>
      <c r="AF52" s="458" t="str">
        <f>IF(AND('Mapa final'!$K$52="Media",'Mapa final'!$O$52="Moderado"),CONCATENATE("R",'Mapa final'!$A$52),"")</f>
        <v/>
      </c>
      <c r="AG52" s="458"/>
      <c r="AH52" s="458" t="str">
        <f>IF(AND('Mapa final'!$K$55="Media",'Mapa final'!$O$55="Moderado"),CONCATENATE("R",'Mapa final'!$A$55),"")</f>
        <v>R17</v>
      </c>
      <c r="AI52" s="458"/>
      <c r="AJ52" s="458" t="str">
        <f>IF(AND('Mapa final'!$K$58="Media",'Mapa final'!$O$58="Moderado"),CONCATENATE("R",'Mapa final'!$A$58),"")</f>
        <v>R18</v>
      </c>
      <c r="AK52" s="458"/>
      <c r="AL52" s="458" t="str">
        <f>IF(AND('Mapa final'!$K$61="Media",'Mapa final'!$O$61="Moderado"),CONCATENATE("R",'Mapa final'!$A$61),"")</f>
        <v/>
      </c>
      <c r="AM52" s="459"/>
      <c r="AN52" s="463" t="str">
        <f>IF(AND('Mapa final'!$K$49="Media",'Mapa final'!$O$49="Mayor"),CONCATENATE("R",'Mapa final'!$A$49),"")</f>
        <v/>
      </c>
      <c r="AO52" s="461"/>
      <c r="AP52" s="461" t="str">
        <f>IF(AND('Mapa final'!$K$52="Media",'Mapa final'!$O$52="Mayor"),CONCATENATE("R",'Mapa final'!$A$52),"")</f>
        <v/>
      </c>
      <c r="AQ52" s="461"/>
      <c r="AR52" s="461" t="str">
        <f>IF(AND('Mapa final'!$K$55="Media",'Mapa final'!$O$55="Mayor"),CONCATENATE("R",'Mapa final'!$A$55),"")</f>
        <v/>
      </c>
      <c r="AS52" s="461"/>
      <c r="AT52" s="461" t="str">
        <f>IF(AND('Mapa final'!$K$58="Media",'Mapa final'!$O$58="Mayor"),CONCATENATE("R",'Mapa final'!$A$58),"")</f>
        <v/>
      </c>
      <c r="AU52" s="461"/>
      <c r="AV52" s="461" t="str">
        <f>IF(AND('Mapa final'!$K$61="Media",'Mapa final'!$O$61="Mayor"),CONCATENATE("R",'Mapa final'!$A$61),"")</f>
        <v>R19</v>
      </c>
      <c r="AW52" s="462"/>
      <c r="AX52" s="457" t="str">
        <f>IF(AND('Mapa final'!$K$49="Media",'Mapa final'!$O$49="Catastrófico"),CONCATENATE("R",'Mapa final'!$A$49),"")</f>
        <v/>
      </c>
      <c r="AY52" s="455"/>
      <c r="AZ52" s="455" t="str">
        <f>IF(AND('Mapa final'!$K$52="Media",'Mapa final'!$O$52="Catastrófico"),CONCATENATE("R",'Mapa final'!$A$52),"")</f>
        <v/>
      </c>
      <c r="BA52" s="455"/>
      <c r="BB52" s="455" t="str">
        <f>IF(AND('Mapa final'!$K$55="Media",'Mapa final'!$O$55="Catastrófico"),CONCATENATE("R",'Mapa final'!$A$55),"")</f>
        <v/>
      </c>
      <c r="BC52" s="455"/>
      <c r="BD52" s="455" t="str">
        <f>IF(AND('Mapa final'!$K$58="Media",'Mapa final'!$O$58="Catastrófico"),CONCATENATE("R",'Mapa final'!$A$58),"")</f>
        <v/>
      </c>
      <c r="BE52" s="455"/>
      <c r="BF52" s="455" t="str">
        <f>IF(AND('Mapa final'!$K$61="Media",'Mapa final'!$O$61="Catastrófico"),CONCATENATE("R",'Mapa final'!$A$61),"")</f>
        <v/>
      </c>
      <c r="BG52" s="456"/>
      <c r="BH52" s="56"/>
      <c r="BI52" s="498"/>
      <c r="BJ52" s="499"/>
      <c r="BK52" s="499"/>
      <c r="BL52" s="499"/>
      <c r="BM52" s="499"/>
      <c r="BN52" s="500"/>
      <c r="BO52" s="56"/>
      <c r="BP52" s="56"/>
      <c r="BQ52" s="56"/>
      <c r="BR52" s="56"/>
      <c r="BS52" s="56"/>
      <c r="BT52" s="56"/>
      <c r="BU52" s="56"/>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6"/>
      <c r="CT52" s="56"/>
      <c r="CU52" s="56"/>
      <c r="CV52" s="56"/>
    </row>
    <row r="53" spans="1:100" ht="15" customHeight="1" thickBot="1" x14ac:dyDescent="0.4">
      <c r="A53" s="56"/>
      <c r="B53" s="300"/>
      <c r="C53" s="300"/>
      <c r="D53" s="301"/>
      <c r="E53" s="524"/>
      <c r="F53" s="525"/>
      <c r="G53" s="525"/>
      <c r="H53" s="525"/>
      <c r="I53" s="526"/>
      <c r="J53" s="460"/>
      <c r="K53" s="458"/>
      <c r="L53" s="458"/>
      <c r="M53" s="458"/>
      <c r="N53" s="458"/>
      <c r="O53" s="458"/>
      <c r="P53" s="458"/>
      <c r="Q53" s="458"/>
      <c r="R53" s="458"/>
      <c r="S53" s="459"/>
      <c r="T53" s="460"/>
      <c r="U53" s="458"/>
      <c r="V53" s="458"/>
      <c r="W53" s="458"/>
      <c r="X53" s="458"/>
      <c r="Y53" s="458"/>
      <c r="Z53" s="458"/>
      <c r="AA53" s="458"/>
      <c r="AB53" s="458"/>
      <c r="AC53" s="459"/>
      <c r="AD53" s="460"/>
      <c r="AE53" s="458"/>
      <c r="AF53" s="458"/>
      <c r="AG53" s="458"/>
      <c r="AH53" s="458"/>
      <c r="AI53" s="458"/>
      <c r="AJ53" s="458"/>
      <c r="AK53" s="458"/>
      <c r="AL53" s="458"/>
      <c r="AM53" s="459"/>
      <c r="AN53" s="463"/>
      <c r="AO53" s="461"/>
      <c r="AP53" s="461"/>
      <c r="AQ53" s="461"/>
      <c r="AR53" s="461"/>
      <c r="AS53" s="461"/>
      <c r="AT53" s="461"/>
      <c r="AU53" s="461"/>
      <c r="AV53" s="461"/>
      <c r="AW53" s="462"/>
      <c r="AX53" s="457"/>
      <c r="AY53" s="455"/>
      <c r="AZ53" s="455"/>
      <c r="BA53" s="455"/>
      <c r="BB53" s="455"/>
      <c r="BC53" s="455"/>
      <c r="BD53" s="455"/>
      <c r="BE53" s="455"/>
      <c r="BF53" s="455"/>
      <c r="BG53" s="456"/>
      <c r="BH53" s="56"/>
      <c r="BI53" s="501"/>
      <c r="BJ53" s="502"/>
      <c r="BK53" s="502"/>
      <c r="BL53" s="502"/>
      <c r="BM53" s="502"/>
      <c r="BN53" s="503"/>
      <c r="BO53" s="56"/>
      <c r="BP53" s="56"/>
      <c r="BQ53" s="56"/>
      <c r="BR53" s="56"/>
      <c r="BS53" s="56"/>
      <c r="BT53" s="56"/>
      <c r="BU53" s="56"/>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row>
    <row r="54" spans="1:100" ht="15" customHeight="1" x14ac:dyDescent="0.35">
      <c r="A54" s="56"/>
      <c r="B54" s="300"/>
      <c r="C54" s="300"/>
      <c r="D54" s="301"/>
      <c r="E54" s="524"/>
      <c r="F54" s="525"/>
      <c r="G54" s="525"/>
      <c r="H54" s="525"/>
      <c r="I54" s="526"/>
      <c r="J54" s="460" t="str">
        <f>IF(AND('Mapa final'!$K$64="Media",'Mapa final'!$O$64="Leve"),CONCATENATE("R",'Mapa final'!$A$64),"")</f>
        <v/>
      </c>
      <c r="K54" s="458"/>
      <c r="L54" s="458" t="str">
        <f>IF(AND('Mapa final'!$K$67="Media",'Mapa final'!$O$67="Leve"),CONCATENATE("R",'Mapa final'!$A$67),"")</f>
        <v/>
      </c>
      <c r="M54" s="458"/>
      <c r="N54" s="458" t="str">
        <f>IF(AND('Mapa final'!$K$73="Media",'Mapa final'!$O$73="Leve"),CONCATENATE("R",'Mapa final'!$A$73),"")</f>
        <v/>
      </c>
      <c r="O54" s="458"/>
      <c r="P54" s="458" t="str">
        <f>IF(AND('Mapa final'!$K$76="Media",'Mapa final'!$O$76="Leve"),CONCATENATE("R",'Mapa final'!$A$76),"")</f>
        <v/>
      </c>
      <c r="Q54" s="458"/>
      <c r="R54" s="458" t="str">
        <f>IF(AND('Mapa final'!$K$79="Media",'Mapa final'!$O$79="Leve"),CONCATENATE("R",'Mapa final'!$A$79),"")</f>
        <v/>
      </c>
      <c r="S54" s="459"/>
      <c r="T54" s="460" t="str">
        <f>IF(AND('Mapa final'!$K$64="Media",'Mapa final'!$O$64="Menor"),CONCATENATE("R",'Mapa final'!$A$64),"")</f>
        <v/>
      </c>
      <c r="U54" s="458"/>
      <c r="V54" s="458" t="str">
        <f>IF(AND('Mapa final'!$K$67="Media",'Mapa final'!$O$67="Menor"),CONCATENATE("R",'Mapa final'!$A$67),"")</f>
        <v/>
      </c>
      <c r="W54" s="458"/>
      <c r="X54" s="458" t="str">
        <f>IF(AND('Mapa final'!$K$73="Media",'Mapa final'!$O$73="Menor"),CONCATENATE("R",'Mapa final'!$A$73),"")</f>
        <v/>
      </c>
      <c r="Y54" s="458"/>
      <c r="Z54" s="458" t="str">
        <f>IF(AND('Mapa final'!$K$76="Media",'Mapa final'!$O$76="Menor"),CONCATENATE("R",'Mapa final'!$A$76),"")</f>
        <v/>
      </c>
      <c r="AA54" s="458"/>
      <c r="AB54" s="458" t="str">
        <f>IF(AND('Mapa final'!$K$79="Media",'Mapa final'!$O$79="Menor"),CONCATENATE("R",'Mapa final'!$A$79),"")</f>
        <v/>
      </c>
      <c r="AC54" s="459"/>
      <c r="AD54" s="460" t="str">
        <f>IF(AND('Mapa final'!$K$64="Media",'Mapa final'!$O$64="Moderado"),CONCATENATE("R",'Mapa final'!$A$64),"")</f>
        <v/>
      </c>
      <c r="AE54" s="458"/>
      <c r="AF54" s="458" t="str">
        <f>IF(AND('Mapa final'!$K$67="Media",'Mapa final'!$O$67="Moderado"),CONCATENATE("R",'Mapa final'!$A$67),"")</f>
        <v/>
      </c>
      <c r="AG54" s="458"/>
      <c r="AH54" s="458" t="str">
        <f>IF(AND('Mapa final'!$K$73="Media",'Mapa final'!$O$73="Moderado"),CONCATENATE("R",'Mapa final'!$A$73),"")</f>
        <v/>
      </c>
      <c r="AI54" s="458"/>
      <c r="AJ54" s="458" t="str">
        <f>IF(AND('Mapa final'!$K$76="Media",'Mapa final'!$O$76="Moderado"),CONCATENATE("R",'Mapa final'!$A$76),"")</f>
        <v/>
      </c>
      <c r="AK54" s="458"/>
      <c r="AL54" s="458" t="str">
        <f>IF(AND('Mapa final'!$K$79="Media",'Mapa final'!$O$79="Moderado"),CONCATENATE("R",'Mapa final'!$A$79),"")</f>
        <v/>
      </c>
      <c r="AM54" s="459"/>
      <c r="AN54" s="463" t="str">
        <f>IF(AND('Mapa final'!$K$64="Media",'Mapa final'!$O$64="Mayor"),CONCATENATE("R",'Mapa final'!$A$64),"")</f>
        <v/>
      </c>
      <c r="AO54" s="461"/>
      <c r="AP54" s="461" t="str">
        <f>IF(AND('Mapa final'!$K$67="Media",'Mapa final'!$O$67="Mayor"),CONCATENATE("R",'Mapa final'!$A$67),"")</f>
        <v/>
      </c>
      <c r="AQ54" s="461"/>
      <c r="AR54" s="461" t="str">
        <f>IF(AND('Mapa final'!$K$73="Media",'Mapa final'!$O$73="Mayor"),CONCATENATE("R",'Mapa final'!$A$73),"")</f>
        <v>R23</v>
      </c>
      <c r="AS54" s="461"/>
      <c r="AT54" s="461" t="str">
        <f>IF(AND('Mapa final'!$K$76="Media",'Mapa final'!$O$76="Mayor"),CONCATENATE("R",'Mapa final'!$A$76),"")</f>
        <v/>
      </c>
      <c r="AU54" s="461"/>
      <c r="AV54" s="461" t="str">
        <f>IF(AND('Mapa final'!$K$79="Media",'Mapa final'!$O$79="Mayor"),CONCATENATE("R",'Mapa final'!$A$79),"")</f>
        <v/>
      </c>
      <c r="AW54" s="462"/>
      <c r="AX54" s="457" t="str">
        <f>IF(AND('Mapa final'!$K$64="Media",'Mapa final'!$O$64="Catastrófico"),CONCATENATE("R",'Mapa final'!$A$64),"")</f>
        <v/>
      </c>
      <c r="AY54" s="455"/>
      <c r="AZ54" s="455" t="str">
        <f>IF(AND('Mapa final'!$K$67="Media",'Mapa final'!$O$67="Catastrófico"),CONCATENATE("R",'Mapa final'!$A$67),"")</f>
        <v/>
      </c>
      <c r="BA54" s="455"/>
      <c r="BB54" s="455" t="str">
        <f>IF(AND('Mapa final'!$K$73="Media",'Mapa final'!$O$73="Catastrófico"),CONCATENATE("R",'Mapa final'!$A$73),"")</f>
        <v/>
      </c>
      <c r="BC54" s="455"/>
      <c r="BD54" s="455" t="str">
        <f>IF(AND('Mapa final'!$K$76="Media",'Mapa final'!$O$76="Catastrófico"),CONCATENATE("R",'Mapa final'!$A$76),"")</f>
        <v/>
      </c>
      <c r="BE54" s="455"/>
      <c r="BF54" s="455" t="str">
        <f>IF(AND('Mapa final'!$K$79="Media",'Mapa final'!$O$79="Catastrófico"),CONCATENATE("R",'Mapa final'!$A$79),"")</f>
        <v/>
      </c>
      <c r="BG54" s="456"/>
      <c r="BH54" s="56"/>
      <c r="BI54" s="504" t="s">
        <v>75</v>
      </c>
      <c r="BJ54" s="505"/>
      <c r="BK54" s="505"/>
      <c r="BL54" s="505"/>
      <c r="BM54" s="505"/>
      <c r="BN54" s="506"/>
      <c r="BO54" s="56"/>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row>
    <row r="55" spans="1:100" ht="15" customHeight="1" x14ac:dyDescent="0.35">
      <c r="A55" s="56"/>
      <c r="B55" s="300"/>
      <c r="C55" s="300"/>
      <c r="D55" s="301"/>
      <c r="E55" s="524"/>
      <c r="F55" s="525"/>
      <c r="G55" s="525"/>
      <c r="H55" s="525"/>
      <c r="I55" s="526"/>
      <c r="J55" s="460"/>
      <c r="K55" s="458"/>
      <c r="L55" s="458"/>
      <c r="M55" s="458"/>
      <c r="N55" s="458"/>
      <c r="O55" s="458"/>
      <c r="P55" s="458"/>
      <c r="Q55" s="458"/>
      <c r="R55" s="458"/>
      <c r="S55" s="459"/>
      <c r="T55" s="460"/>
      <c r="U55" s="458"/>
      <c r="V55" s="458"/>
      <c r="W55" s="458"/>
      <c r="X55" s="458"/>
      <c r="Y55" s="458"/>
      <c r="Z55" s="458"/>
      <c r="AA55" s="458"/>
      <c r="AB55" s="458"/>
      <c r="AC55" s="459"/>
      <c r="AD55" s="460"/>
      <c r="AE55" s="458"/>
      <c r="AF55" s="458"/>
      <c r="AG55" s="458"/>
      <c r="AH55" s="458"/>
      <c r="AI55" s="458"/>
      <c r="AJ55" s="458"/>
      <c r="AK55" s="458"/>
      <c r="AL55" s="458"/>
      <c r="AM55" s="459"/>
      <c r="AN55" s="463"/>
      <c r="AO55" s="461"/>
      <c r="AP55" s="461"/>
      <c r="AQ55" s="461"/>
      <c r="AR55" s="461"/>
      <c r="AS55" s="461"/>
      <c r="AT55" s="461"/>
      <c r="AU55" s="461"/>
      <c r="AV55" s="461"/>
      <c r="AW55" s="462"/>
      <c r="AX55" s="457"/>
      <c r="AY55" s="455"/>
      <c r="AZ55" s="455"/>
      <c r="BA55" s="455"/>
      <c r="BB55" s="455"/>
      <c r="BC55" s="455"/>
      <c r="BD55" s="455"/>
      <c r="BE55" s="455"/>
      <c r="BF55" s="455"/>
      <c r="BG55" s="456"/>
      <c r="BH55" s="56"/>
      <c r="BI55" s="507"/>
      <c r="BJ55" s="508"/>
      <c r="BK55" s="508"/>
      <c r="BL55" s="508"/>
      <c r="BM55" s="508"/>
      <c r="BN55" s="509"/>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row>
    <row r="56" spans="1:100" ht="15" customHeight="1" x14ac:dyDescent="0.35">
      <c r="A56" s="56"/>
      <c r="B56" s="300"/>
      <c r="C56" s="300"/>
      <c r="D56" s="301"/>
      <c r="E56" s="524"/>
      <c r="F56" s="525"/>
      <c r="G56" s="525"/>
      <c r="H56" s="525"/>
      <c r="I56" s="526"/>
      <c r="J56" s="460" t="str">
        <f>IF(AND('Mapa final'!$K$82="Media",'Mapa final'!$O$82="Leve"),CONCATENATE("R",'Mapa final'!$A$82),"")</f>
        <v/>
      </c>
      <c r="K56" s="458"/>
      <c r="L56" s="458" t="str">
        <f>IF(AND('Mapa final'!$K$85="Media",'Mapa final'!$O$85="Leve"),CONCATENATE("R",'Mapa final'!$A$85),"")</f>
        <v/>
      </c>
      <c r="M56" s="458"/>
      <c r="N56" s="458" t="str">
        <f>IF(AND('Mapa final'!$K$88="Media",'Mapa final'!$O$88="Leve"),CONCATENATE("R",'Mapa final'!$A$88),"")</f>
        <v/>
      </c>
      <c r="O56" s="458"/>
      <c r="P56" s="458" t="str">
        <f>IF(AND('Mapa final'!$K$91="Media",'Mapa final'!$O$91="Leve"),CONCATENATE("R",'Mapa final'!$A$91),"")</f>
        <v/>
      </c>
      <c r="Q56" s="458"/>
      <c r="R56" s="458" t="str">
        <f>IF(AND('Mapa final'!$K$94="Media",'Mapa final'!$O$94="Leve"),CONCATENATE("R",'Mapa final'!$A$94),"")</f>
        <v/>
      </c>
      <c r="S56" s="459"/>
      <c r="T56" s="460" t="str">
        <f>IF(AND('Mapa final'!$K$82="Media",'Mapa final'!$O$82="Menor"),CONCATENATE("R",'Mapa final'!$A$82),"")</f>
        <v/>
      </c>
      <c r="U56" s="458"/>
      <c r="V56" s="458" t="str">
        <f>IF(AND('Mapa final'!$K$85="Media",'Mapa final'!$O$85="Menor"),CONCATENATE("R",'Mapa final'!$A$85),"")</f>
        <v/>
      </c>
      <c r="W56" s="458"/>
      <c r="X56" s="458" t="str">
        <f>IF(AND('Mapa final'!$K$88="Media",'Mapa final'!$O$88="Menor"),CONCATENATE("R",'Mapa final'!$A$88),"")</f>
        <v/>
      </c>
      <c r="Y56" s="458"/>
      <c r="Z56" s="458" t="str">
        <f>IF(AND('Mapa final'!$K$91="Media",'Mapa final'!$O$91="Menor"),CONCATENATE("R",'Mapa final'!$A$91),"")</f>
        <v/>
      </c>
      <c r="AA56" s="458"/>
      <c r="AB56" s="458" t="str">
        <f>IF(AND('Mapa final'!$K$94="Media",'Mapa final'!$O$94="Menor"),CONCATENATE("R",'Mapa final'!$A$94),"")</f>
        <v/>
      </c>
      <c r="AC56" s="459"/>
      <c r="AD56" s="460" t="str">
        <f>IF(AND('Mapa final'!$K$82="Media",'Mapa final'!$O$82="Moderado"),CONCATENATE("R",'Mapa final'!$A$82),"")</f>
        <v/>
      </c>
      <c r="AE56" s="458"/>
      <c r="AF56" s="458" t="str">
        <f>IF(AND('Mapa final'!$K$85="Media",'Mapa final'!$O$85="Moderado"),CONCATENATE("R",'Mapa final'!$A$85),"")</f>
        <v/>
      </c>
      <c r="AG56" s="458"/>
      <c r="AH56" s="458" t="str">
        <f>IF(AND('Mapa final'!$K$88="Media",'Mapa final'!$O$88="Moderado"),CONCATENATE("R",'Mapa final'!$A$88),"")</f>
        <v/>
      </c>
      <c r="AI56" s="458"/>
      <c r="AJ56" s="458" t="str">
        <f>IF(AND('Mapa final'!$K$91="Media",'Mapa final'!$O$91="Moderado"),CONCATENATE("R",'Mapa final'!$A$91),"")</f>
        <v/>
      </c>
      <c r="AK56" s="458"/>
      <c r="AL56" s="458" t="str">
        <f>IF(AND('Mapa final'!$K$94="Media",'Mapa final'!$O$94="Moderado"),CONCATENATE("R",'Mapa final'!$A$94),"")</f>
        <v/>
      </c>
      <c r="AM56" s="459"/>
      <c r="AN56" s="463" t="str">
        <f>IF(AND('Mapa final'!$K$82="Media",'Mapa final'!$O$82="Mayor"),CONCATENATE("R",'Mapa final'!$A$82),"")</f>
        <v/>
      </c>
      <c r="AO56" s="461"/>
      <c r="AP56" s="461" t="str">
        <f>IF(AND('Mapa final'!$K$85="Media",'Mapa final'!$O$85="Mayor"),CONCATENATE("R",'Mapa final'!$A$85),"")</f>
        <v/>
      </c>
      <c r="AQ56" s="461"/>
      <c r="AR56" s="461" t="str">
        <f>IF(AND('Mapa final'!$K$88="Media",'Mapa final'!$O$88="Mayor"),CONCATENATE("R",'Mapa final'!$A$88),"")</f>
        <v>R28</v>
      </c>
      <c r="AS56" s="461"/>
      <c r="AT56" s="461" t="str">
        <f>IF(AND('Mapa final'!$K$91="Media",'Mapa final'!$O$91="Mayor"),CONCATENATE("R",'Mapa final'!$A$91),"")</f>
        <v>R29</v>
      </c>
      <c r="AU56" s="461"/>
      <c r="AV56" s="461" t="str">
        <f>IF(AND('Mapa final'!$K$94="Media",'Mapa final'!$O$94="Mayor"),CONCATENATE("R",'Mapa final'!$A$94),"")</f>
        <v/>
      </c>
      <c r="AW56" s="462"/>
      <c r="AX56" s="457" t="str">
        <f>IF(AND('Mapa final'!$K$82="Media",'Mapa final'!$O$82="Catastrófico"),CONCATENATE("R",'Mapa final'!$A$82),"")</f>
        <v/>
      </c>
      <c r="AY56" s="455"/>
      <c r="AZ56" s="455" t="str">
        <f>IF(AND('Mapa final'!$K$85="Media",'Mapa final'!$O$85="Catastrófico"),CONCATENATE("R",'Mapa final'!$A$85),"")</f>
        <v/>
      </c>
      <c r="BA56" s="455"/>
      <c r="BB56" s="455" t="str">
        <f>IF(AND('Mapa final'!$K$88="Media",'Mapa final'!$O$88="Catastrófico"),CONCATENATE("R",'Mapa final'!$A$88),"")</f>
        <v/>
      </c>
      <c r="BC56" s="455"/>
      <c r="BD56" s="455" t="str">
        <f>IF(AND('Mapa final'!$K$91="Media",'Mapa final'!$O$91="Catastrófico"),CONCATENATE("R",'Mapa final'!$A$91),"")</f>
        <v/>
      </c>
      <c r="BE56" s="455"/>
      <c r="BF56" s="455" t="str">
        <f>IF(AND('Mapa final'!$K$94="Media",'Mapa final'!$O$94="Catastrófico"),CONCATENATE("R",'Mapa final'!$A$94),"")</f>
        <v/>
      </c>
      <c r="BG56" s="456"/>
      <c r="BH56" s="56"/>
      <c r="BI56" s="507"/>
      <c r="BJ56" s="508"/>
      <c r="BK56" s="508"/>
      <c r="BL56" s="508"/>
      <c r="BM56" s="508"/>
      <c r="BN56" s="509"/>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row>
    <row r="57" spans="1:100" ht="15" customHeight="1" x14ac:dyDescent="0.35">
      <c r="A57" s="56"/>
      <c r="B57" s="300"/>
      <c r="C57" s="300"/>
      <c r="D57" s="301"/>
      <c r="E57" s="524"/>
      <c r="F57" s="525"/>
      <c r="G57" s="525"/>
      <c r="H57" s="525"/>
      <c r="I57" s="526"/>
      <c r="J57" s="460"/>
      <c r="K57" s="458"/>
      <c r="L57" s="458"/>
      <c r="M57" s="458"/>
      <c r="N57" s="458"/>
      <c r="O57" s="458"/>
      <c r="P57" s="458"/>
      <c r="Q57" s="458"/>
      <c r="R57" s="458"/>
      <c r="S57" s="459"/>
      <c r="T57" s="460"/>
      <c r="U57" s="458"/>
      <c r="V57" s="458"/>
      <c r="W57" s="458"/>
      <c r="X57" s="458"/>
      <c r="Y57" s="458"/>
      <c r="Z57" s="458"/>
      <c r="AA57" s="458"/>
      <c r="AB57" s="458"/>
      <c r="AC57" s="459"/>
      <c r="AD57" s="460"/>
      <c r="AE57" s="458"/>
      <c r="AF57" s="458"/>
      <c r="AG57" s="458"/>
      <c r="AH57" s="458"/>
      <c r="AI57" s="458"/>
      <c r="AJ57" s="458"/>
      <c r="AK57" s="458"/>
      <c r="AL57" s="458"/>
      <c r="AM57" s="459"/>
      <c r="AN57" s="463"/>
      <c r="AO57" s="461"/>
      <c r="AP57" s="461"/>
      <c r="AQ57" s="461"/>
      <c r="AR57" s="461"/>
      <c r="AS57" s="461"/>
      <c r="AT57" s="461"/>
      <c r="AU57" s="461"/>
      <c r="AV57" s="461"/>
      <c r="AW57" s="462"/>
      <c r="AX57" s="457"/>
      <c r="AY57" s="455"/>
      <c r="AZ57" s="455"/>
      <c r="BA57" s="455"/>
      <c r="BB57" s="455"/>
      <c r="BC57" s="455"/>
      <c r="BD57" s="455"/>
      <c r="BE57" s="455"/>
      <c r="BF57" s="455"/>
      <c r="BG57" s="456"/>
      <c r="BH57" s="56"/>
      <c r="BI57" s="507"/>
      <c r="BJ57" s="508"/>
      <c r="BK57" s="508"/>
      <c r="BL57" s="508"/>
      <c r="BM57" s="508"/>
      <c r="BN57" s="509"/>
      <c r="BO57" s="56"/>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row>
    <row r="58" spans="1:100" ht="15" customHeight="1" x14ac:dyDescent="0.35">
      <c r="A58" s="56"/>
      <c r="B58" s="300"/>
      <c r="C58" s="300"/>
      <c r="D58" s="301"/>
      <c r="E58" s="524"/>
      <c r="F58" s="525"/>
      <c r="G58" s="525"/>
      <c r="H58" s="525"/>
      <c r="I58" s="526"/>
      <c r="J58" s="460" t="str">
        <f>IF(AND('Mapa final'!$K$97="Media",'Mapa final'!$O$97="Leve"),CONCATENATE("R",'Mapa final'!$A$97),"")</f>
        <v/>
      </c>
      <c r="K58" s="458"/>
      <c r="L58" s="458" t="e">
        <f>IF(AND('Mapa final'!#REF!="Media",'Mapa final'!#REF!="Leve"),CONCATENATE("R",'Mapa final'!#REF!),"")</f>
        <v>#REF!</v>
      </c>
      <c r="M58" s="458"/>
      <c r="N58" s="458" t="str">
        <f>IF(AND('Mapa final'!$K$100="Media",'Mapa final'!$O$100="Leve"),CONCATENATE("R",'Mapa final'!$A$100),"")</f>
        <v/>
      </c>
      <c r="O58" s="458"/>
      <c r="P58" s="458" t="str">
        <f>IF(AND('Mapa final'!$K$103="Media",'Mapa final'!$O$103="Leve"),CONCATENATE("R",'Mapa final'!$A$103),"")</f>
        <v/>
      </c>
      <c r="Q58" s="458"/>
      <c r="R58" s="458" t="str">
        <f>IF(AND('Mapa final'!$K$106="Media",'Mapa final'!$O$106="Leve"),CONCATENATE("R",'Mapa final'!$A$106),"")</f>
        <v/>
      </c>
      <c r="S58" s="459"/>
      <c r="T58" s="460" t="str">
        <f>IF(AND('Mapa final'!$K$97="Media",'Mapa final'!$O$97="Menor"),CONCATENATE("R",'Mapa final'!$A$97),"")</f>
        <v/>
      </c>
      <c r="U58" s="458"/>
      <c r="V58" s="458" t="e">
        <f>IF(AND('Mapa final'!#REF!="Media",'Mapa final'!#REF!="Menor"),CONCATENATE("R",'Mapa final'!#REF!),"")</f>
        <v>#REF!</v>
      </c>
      <c r="W58" s="458"/>
      <c r="X58" s="458" t="str">
        <f>IF(AND('Mapa final'!$K$100="Media",'Mapa final'!$O$100="Menor"),CONCATENATE("R",'Mapa final'!$A$100),"")</f>
        <v/>
      </c>
      <c r="Y58" s="458"/>
      <c r="Z58" s="458" t="str">
        <f>IF(AND('Mapa final'!$K$103="Media",'Mapa final'!$O$103="Menor"),CONCATENATE("R",'Mapa final'!$A$103),"")</f>
        <v/>
      </c>
      <c r="AA58" s="458"/>
      <c r="AB58" s="458" t="str">
        <f>IF(AND('Mapa final'!$K$106="Media",'Mapa final'!$O$106="Menor"),CONCATENATE("R",'Mapa final'!$A$106),"")</f>
        <v/>
      </c>
      <c r="AC58" s="459"/>
      <c r="AD58" s="460" t="str">
        <f>IF(AND('Mapa final'!$K$97="Media",'Mapa final'!$O$97="Moderado"),CONCATENATE("R",'Mapa final'!$A$97),"")</f>
        <v/>
      </c>
      <c r="AE58" s="458"/>
      <c r="AF58" s="458" t="e">
        <f>IF(AND('Mapa final'!#REF!="Media",'Mapa final'!#REF!="Moderado"),CONCATENATE("R",'Mapa final'!#REF!),"")</f>
        <v>#REF!</v>
      </c>
      <c r="AG58" s="458"/>
      <c r="AH58" s="458" t="str">
        <f>IF(AND('Mapa final'!$K$100="Media",'Mapa final'!$O$100="Moderado"),CONCATENATE("R",'Mapa final'!$A$100),"")</f>
        <v/>
      </c>
      <c r="AI58" s="458"/>
      <c r="AJ58" s="458" t="str">
        <f>IF(AND('Mapa final'!$K$103="Media",'Mapa final'!$O$103="Moderado"),CONCATENATE("R",'Mapa final'!$A$103),"")</f>
        <v>R33</v>
      </c>
      <c r="AK58" s="458"/>
      <c r="AL58" s="458" t="str">
        <f>IF(AND('Mapa final'!$K$106="Media",'Mapa final'!$O$106="Moderado"),CONCATENATE("R",'Mapa final'!$A$106),"")</f>
        <v>R34</v>
      </c>
      <c r="AM58" s="459"/>
      <c r="AN58" s="463" t="str">
        <f>IF(AND('Mapa final'!$K$97="Media",'Mapa final'!$O$97="Mayor"),CONCATENATE("R",'Mapa final'!$A$97),"")</f>
        <v/>
      </c>
      <c r="AO58" s="461"/>
      <c r="AP58" s="461" t="e">
        <f>IF(AND('Mapa final'!#REF!="Media",'Mapa final'!#REF!="Mayor"),CONCATENATE("R",'Mapa final'!#REF!),"")</f>
        <v>#REF!</v>
      </c>
      <c r="AQ58" s="461"/>
      <c r="AR58" s="461" t="str">
        <f>IF(AND('Mapa final'!$K$100="Media",'Mapa final'!$O$100="Mayor"),CONCATENATE("R",'Mapa final'!$A$100),"")</f>
        <v/>
      </c>
      <c r="AS58" s="461"/>
      <c r="AT58" s="461" t="str">
        <f>IF(AND('Mapa final'!$K$103="Media",'Mapa final'!$O$103="Mayor"),CONCATENATE("R",'Mapa final'!$A$103),"")</f>
        <v/>
      </c>
      <c r="AU58" s="461"/>
      <c r="AV58" s="461" t="str">
        <f>IF(AND('Mapa final'!$K$106="Media",'Mapa final'!$O$106="Mayor"),CONCATENATE("R",'Mapa final'!$A$106),"")</f>
        <v/>
      </c>
      <c r="AW58" s="462"/>
      <c r="AX58" s="457" t="str">
        <f>IF(AND('Mapa final'!$K$97="Media",'Mapa final'!$O$97="Catastrófico"),CONCATENATE("R",'Mapa final'!$A$97),"")</f>
        <v/>
      </c>
      <c r="AY58" s="455"/>
      <c r="AZ58" s="455" t="e">
        <f>IF(AND('Mapa final'!#REF!="Media",'Mapa final'!#REF!="Catastrófico"),CONCATENATE("R",'Mapa final'!#REF!),"")</f>
        <v>#REF!</v>
      </c>
      <c r="BA58" s="455"/>
      <c r="BB58" s="455" t="str">
        <f>IF(AND('Mapa final'!$K$100="Media",'Mapa final'!$O$100="Catastrófico"),CONCATENATE("R",'Mapa final'!$A$100),"")</f>
        <v/>
      </c>
      <c r="BC58" s="455"/>
      <c r="BD58" s="455" t="str">
        <f>IF(AND('Mapa final'!$K$103="Media",'Mapa final'!$O$103="Catastrófico"),CONCATENATE("R",'Mapa final'!$A$103),"")</f>
        <v/>
      </c>
      <c r="BE58" s="455"/>
      <c r="BF58" s="455" t="str">
        <f>IF(AND('Mapa final'!$K$106="Media",'Mapa final'!$O$106="Catastrófico"),CONCATENATE("R",'Mapa final'!$A$106),"")</f>
        <v/>
      </c>
      <c r="BG58" s="456"/>
      <c r="BH58" s="56"/>
      <c r="BI58" s="507"/>
      <c r="BJ58" s="508"/>
      <c r="BK58" s="508"/>
      <c r="BL58" s="508"/>
      <c r="BM58" s="508"/>
      <c r="BN58" s="509"/>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c r="CQ58" s="56"/>
      <c r="CR58" s="56"/>
      <c r="CS58" s="56"/>
      <c r="CT58" s="56"/>
      <c r="CU58" s="56"/>
      <c r="CV58" s="56"/>
    </row>
    <row r="59" spans="1:100" ht="15" customHeight="1" x14ac:dyDescent="0.35">
      <c r="A59" s="56"/>
      <c r="B59" s="300"/>
      <c r="C59" s="300"/>
      <c r="D59" s="301"/>
      <c r="E59" s="524"/>
      <c r="F59" s="525"/>
      <c r="G59" s="525"/>
      <c r="H59" s="525"/>
      <c r="I59" s="526"/>
      <c r="J59" s="460"/>
      <c r="K59" s="458"/>
      <c r="L59" s="458"/>
      <c r="M59" s="458"/>
      <c r="N59" s="458"/>
      <c r="O59" s="458"/>
      <c r="P59" s="458"/>
      <c r="Q59" s="458"/>
      <c r="R59" s="458"/>
      <c r="S59" s="459"/>
      <c r="T59" s="460"/>
      <c r="U59" s="458"/>
      <c r="V59" s="458"/>
      <c r="W59" s="458"/>
      <c r="X59" s="458"/>
      <c r="Y59" s="458"/>
      <c r="Z59" s="458"/>
      <c r="AA59" s="458"/>
      <c r="AB59" s="458"/>
      <c r="AC59" s="459"/>
      <c r="AD59" s="460"/>
      <c r="AE59" s="458"/>
      <c r="AF59" s="458"/>
      <c r="AG59" s="458"/>
      <c r="AH59" s="458"/>
      <c r="AI59" s="458"/>
      <c r="AJ59" s="458"/>
      <c r="AK59" s="458"/>
      <c r="AL59" s="458"/>
      <c r="AM59" s="459"/>
      <c r="AN59" s="463"/>
      <c r="AO59" s="461"/>
      <c r="AP59" s="461"/>
      <c r="AQ59" s="461"/>
      <c r="AR59" s="461"/>
      <c r="AS59" s="461"/>
      <c r="AT59" s="461"/>
      <c r="AU59" s="461"/>
      <c r="AV59" s="461"/>
      <c r="AW59" s="462"/>
      <c r="AX59" s="457"/>
      <c r="AY59" s="455"/>
      <c r="AZ59" s="455"/>
      <c r="BA59" s="455"/>
      <c r="BB59" s="455"/>
      <c r="BC59" s="455"/>
      <c r="BD59" s="455"/>
      <c r="BE59" s="455"/>
      <c r="BF59" s="455"/>
      <c r="BG59" s="456"/>
      <c r="BH59" s="56"/>
      <c r="BI59" s="507"/>
      <c r="BJ59" s="508"/>
      <c r="BK59" s="508"/>
      <c r="BL59" s="508"/>
      <c r="BM59" s="508"/>
      <c r="BN59" s="509"/>
      <c r="BO59" s="56"/>
      <c r="BP59" s="56"/>
      <c r="BQ59" s="56"/>
      <c r="BR59" s="56"/>
      <c r="BS59" s="56"/>
      <c r="BT59" s="56"/>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row>
    <row r="60" spans="1:100" ht="15" customHeight="1" x14ac:dyDescent="0.35">
      <c r="A60" s="56"/>
      <c r="B60" s="300"/>
      <c r="C60" s="300"/>
      <c r="D60" s="301"/>
      <c r="E60" s="524"/>
      <c r="F60" s="525"/>
      <c r="G60" s="525"/>
      <c r="H60" s="525"/>
      <c r="I60" s="526"/>
      <c r="J60" s="460" t="str">
        <f>IF(AND('Mapa final'!$K$109="Media",'Mapa final'!$O$109="Leve"),CONCATENATE("R",'Mapa final'!$A$109),"")</f>
        <v/>
      </c>
      <c r="K60" s="458"/>
      <c r="L60" s="458" t="str">
        <f>IF(AND('Mapa final'!$K$112="Media",'Mapa final'!$O$112="Leve"),CONCATENATE("R",'Mapa final'!$A$112),"")</f>
        <v/>
      </c>
      <c r="M60" s="458"/>
      <c r="N60" s="458" t="str">
        <f>IF(AND('Mapa final'!$K$115="Media",'Mapa final'!$O$115="Leve"),CONCATENATE("R",'Mapa final'!$A$115),"")</f>
        <v/>
      </c>
      <c r="O60" s="458"/>
      <c r="P60" s="458" t="str">
        <f>IF(AND('Mapa final'!$K$118="Media",'Mapa final'!$O$118="Leve"),CONCATENATE("R",'Mapa final'!$A$118),"")</f>
        <v/>
      </c>
      <c r="Q60" s="458"/>
      <c r="R60" s="458" t="str">
        <f>IF(AND('Mapa final'!$K$121="Media",'Mapa final'!$O$121="Leve"),CONCATENATE("R",'Mapa final'!$A$121),"")</f>
        <v/>
      </c>
      <c r="S60" s="459"/>
      <c r="T60" s="460" t="str">
        <f>IF(AND('Mapa final'!$K$109="Media",'Mapa final'!$O$109="Menor"),CONCATENATE("R",'Mapa final'!$A$109),"")</f>
        <v/>
      </c>
      <c r="U60" s="458"/>
      <c r="V60" s="458" t="str">
        <f>IF(AND('Mapa final'!$K$112="Media",'Mapa final'!$O$112="Menor"),CONCATENATE("R",'Mapa final'!$A$112),"")</f>
        <v>R36</v>
      </c>
      <c r="W60" s="458"/>
      <c r="X60" s="458" t="str">
        <f>IF(AND('Mapa final'!$K$115="Media",'Mapa final'!$O$115="Menor"),CONCATENATE("R",'Mapa final'!$A$115),"")</f>
        <v/>
      </c>
      <c r="Y60" s="458"/>
      <c r="Z60" s="458" t="str">
        <f>IF(AND('Mapa final'!$K$118="Media",'Mapa final'!$O$118="Menor"),CONCATENATE("R",'Mapa final'!$A$118),"")</f>
        <v/>
      </c>
      <c r="AA60" s="458"/>
      <c r="AB60" s="458" t="str">
        <f>IF(AND('Mapa final'!$K$121="Media",'Mapa final'!$O$121="Menor"),CONCATENATE("R",'Mapa final'!$A$121),"")</f>
        <v/>
      </c>
      <c r="AC60" s="459"/>
      <c r="AD60" s="460" t="str">
        <f>IF(AND('Mapa final'!$K$109="Media",'Mapa final'!$O$109="Moderado"),CONCATENATE("R",'Mapa final'!$A$109),"")</f>
        <v/>
      </c>
      <c r="AE60" s="458"/>
      <c r="AF60" s="458" t="str">
        <f>IF(AND('Mapa final'!$K$112="Media",'Mapa final'!$O$112="Moderado"),CONCATENATE("R",'Mapa final'!$A$112),"")</f>
        <v/>
      </c>
      <c r="AG60" s="458"/>
      <c r="AH60" s="458" t="str">
        <f>IF(AND('Mapa final'!$K$115="Media",'Mapa final'!$O$115="Moderado"),CONCATENATE("R",'Mapa final'!$A$115),"")</f>
        <v/>
      </c>
      <c r="AI60" s="458"/>
      <c r="AJ60" s="458" t="str">
        <f>IF(AND('Mapa final'!$K$118="Media",'Mapa final'!$O$118="Moderado"),CONCATENATE("R",'Mapa final'!$A$118),"")</f>
        <v/>
      </c>
      <c r="AK60" s="458"/>
      <c r="AL60" s="458" t="str">
        <f>IF(AND('Mapa final'!$K$121="Media",'Mapa final'!$O$121="Moderado"),CONCATENATE("R",'Mapa final'!$A$121),"")</f>
        <v>R39</v>
      </c>
      <c r="AM60" s="459"/>
      <c r="AN60" s="463" t="str">
        <f>IF(AND('Mapa final'!$K$109="Media",'Mapa final'!$O$109="Mayor"),CONCATENATE("R",'Mapa final'!$A$109),"")</f>
        <v>R35</v>
      </c>
      <c r="AO60" s="461"/>
      <c r="AP60" s="461" t="str">
        <f>IF(AND('Mapa final'!$K$112="Media",'Mapa final'!$O$112="Mayor"),CONCATENATE("R",'Mapa final'!$A$112),"")</f>
        <v/>
      </c>
      <c r="AQ60" s="461"/>
      <c r="AR60" s="461" t="str">
        <f>IF(AND('Mapa final'!$K$115="Media",'Mapa final'!$O$115="Mayor"),CONCATENATE("R",'Mapa final'!$A$115),"")</f>
        <v/>
      </c>
      <c r="AS60" s="461"/>
      <c r="AT60" s="461" t="str">
        <f>IF(AND('Mapa final'!$K$118="Media",'Mapa final'!$O$118="Mayor"),CONCATENATE("R",'Mapa final'!$A$118),"")</f>
        <v/>
      </c>
      <c r="AU60" s="461"/>
      <c r="AV60" s="461" t="str">
        <f>IF(AND('Mapa final'!$K$121="Media",'Mapa final'!$O$121="Mayor"),CONCATENATE("R",'Mapa final'!$A$121),"")</f>
        <v/>
      </c>
      <c r="AW60" s="462"/>
      <c r="AX60" s="457" t="str">
        <f>IF(AND('Mapa final'!$K$109="Media",'Mapa final'!$O$109="Catastrófico"),CONCATENATE("R",'Mapa final'!$A$109),"")</f>
        <v/>
      </c>
      <c r="AY60" s="455"/>
      <c r="AZ60" s="455" t="str">
        <f>IF(AND('Mapa final'!$K$112="Media",'Mapa final'!$O$112="Catastrófico"),CONCATENATE("R",'Mapa final'!$A$112),"")</f>
        <v/>
      </c>
      <c r="BA60" s="455"/>
      <c r="BB60" s="455" t="str">
        <f>IF(AND('Mapa final'!$K$115="Media",'Mapa final'!$O$115="Catastrófico"),CONCATENATE("R",'Mapa final'!$A$115),"")</f>
        <v/>
      </c>
      <c r="BC60" s="455"/>
      <c r="BD60" s="455" t="str">
        <f>IF(AND('Mapa final'!$K$118="Media",'Mapa final'!$O$118="Catastrófico"),CONCATENATE("R",'Mapa final'!$A$118),"")</f>
        <v/>
      </c>
      <c r="BE60" s="455"/>
      <c r="BF60" s="455" t="str">
        <f>IF(AND('Mapa final'!$K$121="Media",'Mapa final'!$O$121="Catastrófico"),CONCATENATE("R",'Mapa final'!$A$121),"")</f>
        <v/>
      </c>
      <c r="BG60" s="456"/>
      <c r="BH60" s="56"/>
      <c r="BI60" s="507"/>
      <c r="BJ60" s="508"/>
      <c r="BK60" s="508"/>
      <c r="BL60" s="508"/>
      <c r="BM60" s="508"/>
      <c r="BN60" s="509"/>
      <c r="BO60" s="56"/>
      <c r="BP60" s="56"/>
      <c r="BQ60" s="56"/>
      <c r="BR60" s="56"/>
      <c r="BS60" s="56"/>
      <c r="BT60" s="56"/>
      <c r="BU60" s="56"/>
      <c r="BV60" s="56"/>
      <c r="BW60" s="56"/>
      <c r="BX60" s="56"/>
      <c r="BY60" s="56"/>
      <c r="BZ60" s="56"/>
      <c r="CA60" s="56"/>
      <c r="CB60" s="56"/>
      <c r="CC60" s="56"/>
      <c r="CD60" s="56"/>
      <c r="CE60" s="56"/>
      <c r="CF60" s="56"/>
      <c r="CG60" s="56"/>
      <c r="CH60" s="56"/>
      <c r="CI60" s="56"/>
      <c r="CJ60" s="56"/>
      <c r="CK60" s="56"/>
      <c r="CL60" s="56"/>
      <c r="CM60" s="56"/>
      <c r="CN60" s="56"/>
      <c r="CO60" s="56"/>
      <c r="CP60" s="56"/>
      <c r="CQ60" s="56"/>
      <c r="CR60" s="56"/>
      <c r="CS60" s="56"/>
      <c r="CT60" s="56"/>
      <c r="CU60" s="56"/>
      <c r="CV60" s="56"/>
    </row>
    <row r="61" spans="1:100" ht="15" customHeight="1" x14ac:dyDescent="0.35">
      <c r="A61" s="56"/>
      <c r="B61" s="300"/>
      <c r="C61" s="300"/>
      <c r="D61" s="301"/>
      <c r="E61" s="524"/>
      <c r="F61" s="525"/>
      <c r="G61" s="525"/>
      <c r="H61" s="525"/>
      <c r="I61" s="526"/>
      <c r="J61" s="460"/>
      <c r="K61" s="458"/>
      <c r="L61" s="458"/>
      <c r="M61" s="458"/>
      <c r="N61" s="458"/>
      <c r="O61" s="458"/>
      <c r="P61" s="458"/>
      <c r="Q61" s="458"/>
      <c r="R61" s="458"/>
      <c r="S61" s="459"/>
      <c r="T61" s="460"/>
      <c r="U61" s="458"/>
      <c r="V61" s="458"/>
      <c r="W61" s="458"/>
      <c r="X61" s="458"/>
      <c r="Y61" s="458"/>
      <c r="Z61" s="458"/>
      <c r="AA61" s="458"/>
      <c r="AB61" s="458"/>
      <c r="AC61" s="459"/>
      <c r="AD61" s="460"/>
      <c r="AE61" s="458"/>
      <c r="AF61" s="458"/>
      <c r="AG61" s="458"/>
      <c r="AH61" s="458"/>
      <c r="AI61" s="458"/>
      <c r="AJ61" s="458"/>
      <c r="AK61" s="458"/>
      <c r="AL61" s="458"/>
      <c r="AM61" s="459"/>
      <c r="AN61" s="463"/>
      <c r="AO61" s="461"/>
      <c r="AP61" s="461"/>
      <c r="AQ61" s="461"/>
      <c r="AR61" s="461"/>
      <c r="AS61" s="461"/>
      <c r="AT61" s="461"/>
      <c r="AU61" s="461"/>
      <c r="AV61" s="461"/>
      <c r="AW61" s="462"/>
      <c r="AX61" s="457"/>
      <c r="AY61" s="455"/>
      <c r="AZ61" s="455"/>
      <c r="BA61" s="455"/>
      <c r="BB61" s="455"/>
      <c r="BC61" s="455"/>
      <c r="BD61" s="455"/>
      <c r="BE61" s="455"/>
      <c r="BF61" s="455"/>
      <c r="BG61" s="456"/>
      <c r="BH61" s="56"/>
      <c r="BI61" s="507"/>
      <c r="BJ61" s="508"/>
      <c r="BK61" s="508"/>
      <c r="BL61" s="508"/>
      <c r="BM61" s="508"/>
      <c r="BN61" s="509"/>
      <c r="BO61" s="56"/>
      <c r="BP61" s="56"/>
      <c r="BQ61" s="56"/>
      <c r="BR61" s="56"/>
      <c r="BS61" s="56"/>
      <c r="BT61" s="56"/>
      <c r="BU61" s="56"/>
      <c r="BV61" s="56"/>
      <c r="BW61" s="56"/>
      <c r="BX61" s="56"/>
      <c r="BY61" s="56"/>
      <c r="BZ61" s="56"/>
      <c r="CA61" s="56"/>
      <c r="CB61" s="56"/>
      <c r="CC61" s="56"/>
      <c r="CD61" s="56"/>
      <c r="CE61" s="56"/>
      <c r="CF61" s="56"/>
      <c r="CG61" s="56"/>
      <c r="CH61" s="56"/>
      <c r="CI61" s="56"/>
      <c r="CJ61" s="56"/>
      <c r="CK61" s="56"/>
      <c r="CL61" s="56"/>
      <c r="CM61" s="56"/>
      <c r="CN61" s="56"/>
      <c r="CO61" s="56"/>
      <c r="CP61" s="56"/>
      <c r="CQ61" s="56"/>
      <c r="CR61" s="56"/>
      <c r="CS61" s="56"/>
      <c r="CT61" s="56"/>
      <c r="CU61" s="56"/>
      <c r="CV61" s="56"/>
    </row>
    <row r="62" spans="1:100" ht="15" customHeight="1" x14ac:dyDescent="0.35">
      <c r="A62" s="56"/>
      <c r="B62" s="300"/>
      <c r="C62" s="300"/>
      <c r="D62" s="301"/>
      <c r="E62" s="524"/>
      <c r="F62" s="525"/>
      <c r="G62" s="525"/>
      <c r="H62" s="525"/>
      <c r="I62" s="526"/>
      <c r="J62" s="460" t="str">
        <f>IF(AND('Mapa final'!$K$124="Media",'Mapa final'!$O$124="Leve"),CONCATENATE("R",'Mapa final'!$A$124),"")</f>
        <v/>
      </c>
      <c r="K62" s="458"/>
      <c r="L62" s="458" t="str">
        <f>IF(AND('Mapa final'!$K$127="Media",'Mapa final'!$O$127="Leve"),CONCATENATE("R",'Mapa final'!$A$127),"")</f>
        <v/>
      </c>
      <c r="M62" s="458"/>
      <c r="N62" s="458" t="str">
        <f>IF(AND('Mapa final'!$K$130="Media",'Mapa final'!$O$130="Leve"),CONCATENATE("R",'Mapa final'!$A$130),"")</f>
        <v/>
      </c>
      <c r="O62" s="458"/>
      <c r="P62" s="458" t="str">
        <f>IF(AND('Mapa final'!$K$133="Media",'Mapa final'!$O$133="Leve"),CONCATENATE("R",'Mapa final'!$A$133),"")</f>
        <v/>
      </c>
      <c r="Q62" s="458"/>
      <c r="R62" s="458" t="str">
        <f>IF(AND('Mapa final'!$K$136="Media",'Mapa final'!$O$136="Leve"),CONCATENATE("R",'Mapa final'!$A$136),"")</f>
        <v/>
      </c>
      <c r="S62" s="459"/>
      <c r="T62" s="460" t="str">
        <f>IF(AND('Mapa final'!$K$124="Media",'Mapa final'!$O$124="Menor"),CONCATENATE("R",'Mapa final'!$A$124),"")</f>
        <v/>
      </c>
      <c r="U62" s="458"/>
      <c r="V62" s="458" t="str">
        <f>IF(AND('Mapa final'!$K$127="Media",'Mapa final'!$O$127="Menor"),CONCATENATE("R",'Mapa final'!$A$127),"")</f>
        <v/>
      </c>
      <c r="W62" s="458"/>
      <c r="X62" s="458" t="str">
        <f>IF(AND('Mapa final'!$K$130="Media",'Mapa final'!$O$130="Menor"),CONCATENATE("R",'Mapa final'!$A$130),"")</f>
        <v/>
      </c>
      <c r="Y62" s="458"/>
      <c r="Z62" s="458" t="str">
        <f>IF(AND('Mapa final'!$K$133="Media",'Mapa final'!$O$133="Menor"),CONCATENATE("R",'Mapa final'!$A$133),"")</f>
        <v/>
      </c>
      <c r="AA62" s="458"/>
      <c r="AB62" s="458" t="str">
        <f>IF(AND('Mapa final'!$K$136="Media",'Mapa final'!$O$136="Menor"),CONCATENATE("R",'Mapa final'!$A$136),"")</f>
        <v/>
      </c>
      <c r="AC62" s="459"/>
      <c r="AD62" s="460" t="str">
        <f>IF(AND('Mapa final'!$K$124="Media",'Mapa final'!$O$124="Moderado"),CONCATENATE("R",'Mapa final'!$A$124),"")</f>
        <v>R40</v>
      </c>
      <c r="AE62" s="458"/>
      <c r="AF62" s="458" t="str">
        <f>IF(AND('Mapa final'!$K$127="Media",'Mapa final'!$O$127="Moderado"),CONCATENATE("R",'Mapa final'!$A$127),"")</f>
        <v/>
      </c>
      <c r="AG62" s="458"/>
      <c r="AH62" s="458" t="str">
        <f>IF(AND('Mapa final'!$K$130="Media",'Mapa final'!$O$130="Moderado"),CONCATENATE("R",'Mapa final'!$A$130),"")</f>
        <v/>
      </c>
      <c r="AI62" s="458"/>
      <c r="AJ62" s="458" t="str">
        <f>IF(AND('Mapa final'!$K$133="Media",'Mapa final'!$O$133="Moderado"),CONCATENATE("R",'Mapa final'!$A$133),"")</f>
        <v>R43</v>
      </c>
      <c r="AK62" s="458"/>
      <c r="AL62" s="458" t="str">
        <f>IF(AND('Mapa final'!$K$136="Media",'Mapa final'!$O$136="Moderado"),CONCATENATE("R",'Mapa final'!$A$136),"")</f>
        <v/>
      </c>
      <c r="AM62" s="459"/>
      <c r="AN62" s="463" t="str">
        <f>IF(AND('Mapa final'!$K$124="Media",'Mapa final'!$O$124="Mayor"),CONCATENATE("R",'Mapa final'!$A$124),"")</f>
        <v/>
      </c>
      <c r="AO62" s="461"/>
      <c r="AP62" s="461" t="str">
        <f>IF(AND('Mapa final'!$K$127="Media",'Mapa final'!$O$127="Mayor"),CONCATENATE("R",'Mapa final'!$A$127),"")</f>
        <v/>
      </c>
      <c r="AQ62" s="461"/>
      <c r="AR62" s="461" t="str">
        <f>IF(AND('Mapa final'!$K$130="Media",'Mapa final'!$O$130="Mayor"),CONCATENATE("R",'Mapa final'!$A$130),"")</f>
        <v>R42</v>
      </c>
      <c r="AS62" s="461"/>
      <c r="AT62" s="461" t="str">
        <f>IF(AND('Mapa final'!$K$133="Media",'Mapa final'!$O$133="Mayor"),CONCATENATE("R",'Mapa final'!$A$133),"")</f>
        <v/>
      </c>
      <c r="AU62" s="461"/>
      <c r="AV62" s="461" t="str">
        <f>IF(AND('Mapa final'!$K$136="Media",'Mapa final'!$O$136="Mayor"),CONCATENATE("R",'Mapa final'!$A$136),"")</f>
        <v>R44</v>
      </c>
      <c r="AW62" s="462"/>
      <c r="AX62" s="457" t="str">
        <f>IF(AND('Mapa final'!$K$124="Media",'Mapa final'!$O$124="Catastrófico"),CONCATENATE("R",'Mapa final'!$A$124),"")</f>
        <v/>
      </c>
      <c r="AY62" s="455"/>
      <c r="AZ62" s="455" t="str">
        <f>IF(AND('Mapa final'!$K$127="Media",'Mapa final'!$O$127="Catastrófico"),CONCATENATE("R",'Mapa final'!$A$127),"")</f>
        <v/>
      </c>
      <c r="BA62" s="455"/>
      <c r="BB62" s="455" t="str">
        <f>IF(AND('Mapa final'!$K$130="Media",'Mapa final'!$O$130="Catastrófico"),CONCATENATE("R",'Mapa final'!$A$130),"")</f>
        <v/>
      </c>
      <c r="BC62" s="455"/>
      <c r="BD62" s="455" t="str">
        <f>IF(AND('Mapa final'!$K$133="Media",'Mapa final'!$O$133="Catastrófico"),CONCATENATE("R",'Mapa final'!$A$133),"")</f>
        <v/>
      </c>
      <c r="BE62" s="455"/>
      <c r="BF62" s="455" t="str">
        <f>IF(AND('Mapa final'!$K$136="Media",'Mapa final'!$O$136="Catastrófico"),CONCATENATE("R",'Mapa final'!$A$136),"")</f>
        <v/>
      </c>
      <c r="BG62" s="456"/>
      <c r="BH62" s="56"/>
      <c r="BI62" s="507"/>
      <c r="BJ62" s="508"/>
      <c r="BK62" s="508"/>
      <c r="BL62" s="508"/>
      <c r="BM62" s="508"/>
      <c r="BN62" s="509"/>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row>
    <row r="63" spans="1:100" ht="15" customHeight="1" x14ac:dyDescent="0.35">
      <c r="A63" s="56"/>
      <c r="B63" s="300"/>
      <c r="C63" s="300"/>
      <c r="D63" s="301"/>
      <c r="E63" s="524"/>
      <c r="F63" s="525"/>
      <c r="G63" s="525"/>
      <c r="H63" s="525"/>
      <c r="I63" s="526"/>
      <c r="J63" s="460"/>
      <c r="K63" s="458"/>
      <c r="L63" s="458"/>
      <c r="M63" s="458"/>
      <c r="N63" s="458"/>
      <c r="O63" s="458"/>
      <c r="P63" s="458"/>
      <c r="Q63" s="458"/>
      <c r="R63" s="458"/>
      <c r="S63" s="459"/>
      <c r="T63" s="460"/>
      <c r="U63" s="458"/>
      <c r="V63" s="458"/>
      <c r="W63" s="458"/>
      <c r="X63" s="458"/>
      <c r="Y63" s="458"/>
      <c r="Z63" s="458"/>
      <c r="AA63" s="458"/>
      <c r="AB63" s="458"/>
      <c r="AC63" s="459"/>
      <c r="AD63" s="460"/>
      <c r="AE63" s="458"/>
      <c r="AF63" s="458"/>
      <c r="AG63" s="458"/>
      <c r="AH63" s="458"/>
      <c r="AI63" s="458"/>
      <c r="AJ63" s="458"/>
      <c r="AK63" s="458"/>
      <c r="AL63" s="458"/>
      <c r="AM63" s="459"/>
      <c r="AN63" s="463"/>
      <c r="AO63" s="461"/>
      <c r="AP63" s="461"/>
      <c r="AQ63" s="461"/>
      <c r="AR63" s="461"/>
      <c r="AS63" s="461"/>
      <c r="AT63" s="461"/>
      <c r="AU63" s="461"/>
      <c r="AV63" s="461"/>
      <c r="AW63" s="462"/>
      <c r="AX63" s="457"/>
      <c r="AY63" s="455"/>
      <c r="AZ63" s="455"/>
      <c r="BA63" s="455"/>
      <c r="BB63" s="455"/>
      <c r="BC63" s="455"/>
      <c r="BD63" s="455"/>
      <c r="BE63" s="455"/>
      <c r="BF63" s="455"/>
      <c r="BG63" s="456"/>
      <c r="BH63" s="56"/>
      <c r="BI63" s="507"/>
      <c r="BJ63" s="508"/>
      <c r="BK63" s="508"/>
      <c r="BL63" s="508"/>
      <c r="BM63" s="508"/>
      <c r="BN63" s="509"/>
      <c r="BO63" s="56"/>
      <c r="BP63" s="56"/>
      <c r="BQ63" s="56"/>
      <c r="BR63" s="56"/>
      <c r="BS63" s="56"/>
      <c r="BT63" s="56"/>
      <c r="BU63" s="56"/>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row>
    <row r="64" spans="1:100" ht="15" customHeight="1" x14ac:dyDescent="0.35">
      <c r="A64" s="56"/>
      <c r="B64" s="300"/>
      <c r="C64" s="300"/>
      <c r="D64" s="301"/>
      <c r="E64" s="524"/>
      <c r="F64" s="525"/>
      <c r="G64" s="525"/>
      <c r="H64" s="525"/>
      <c r="I64" s="526"/>
      <c r="J64" s="460" t="str">
        <f>IF(AND('Mapa final'!$K$139="Media",'Mapa final'!$O$139="Leve"),CONCATENATE("R",'Mapa final'!$A$139),"")</f>
        <v/>
      </c>
      <c r="K64" s="458"/>
      <c r="L64" s="458" t="str">
        <f>IF(AND('Mapa final'!$K$142="Media",'Mapa final'!$O$142="Leve"),CONCATENATE("R",'Mapa final'!$A$142),"")</f>
        <v/>
      </c>
      <c r="M64" s="458"/>
      <c r="N64" s="458" t="str">
        <f>IF(AND('Mapa final'!$K$145="Media",'Mapa final'!$O$145="Leve"),CONCATENATE("R",'Mapa final'!$A$145),"")</f>
        <v/>
      </c>
      <c r="O64" s="458"/>
      <c r="P64" s="458" t="str">
        <f>IF(AND('Mapa final'!$K$148="Media",'Mapa final'!$O$148="Leve"),CONCATENATE("R",'Mapa final'!$A$148),"")</f>
        <v/>
      </c>
      <c r="Q64" s="458"/>
      <c r="R64" s="458" t="str">
        <f>IF(AND('Mapa final'!$K$151="Media",'Mapa final'!$O$151="Leve"),CONCATENATE("R",'Mapa final'!$A$151),"")</f>
        <v/>
      </c>
      <c r="S64" s="459"/>
      <c r="T64" s="460" t="str">
        <f>IF(AND('Mapa final'!$K$139="Media",'Mapa final'!$O$139="Menor"),CONCATENATE("R",'Mapa final'!$A$139),"")</f>
        <v/>
      </c>
      <c r="U64" s="458"/>
      <c r="V64" s="458" t="str">
        <f>IF(AND('Mapa final'!$K$142="Media",'Mapa final'!$O$142="Menor"),CONCATENATE("R",'Mapa final'!$A$142),"")</f>
        <v/>
      </c>
      <c r="W64" s="458"/>
      <c r="X64" s="458" t="str">
        <f>IF(AND('Mapa final'!$K$145="Media",'Mapa final'!$O$145="Menor"),CONCATENATE("R",'Mapa final'!$A$145),"")</f>
        <v/>
      </c>
      <c r="Y64" s="458"/>
      <c r="Z64" s="458" t="str">
        <f>IF(AND('Mapa final'!$K$148="Media",'Mapa final'!$O$148="Menor"),CONCATENATE("R",'Mapa final'!$A$148),"")</f>
        <v/>
      </c>
      <c r="AA64" s="458"/>
      <c r="AB64" s="458" t="str">
        <f>IF(AND('Mapa final'!$K$151="Media",'Mapa final'!$O$151="Menor"),CONCATENATE("R",'Mapa final'!$A$151),"")</f>
        <v/>
      </c>
      <c r="AC64" s="459"/>
      <c r="AD64" s="460" t="str">
        <f>IF(AND('Mapa final'!$K$139="Media",'Mapa final'!$O$139="Moderado"),CONCATENATE("R",'Mapa final'!$A$139),"")</f>
        <v/>
      </c>
      <c r="AE64" s="458"/>
      <c r="AF64" s="458" t="str">
        <f>IF(AND('Mapa final'!$K$142="Media",'Mapa final'!$O$142="Moderado"),CONCATENATE("R",'Mapa final'!$A$142),"")</f>
        <v/>
      </c>
      <c r="AG64" s="458"/>
      <c r="AH64" s="458" t="str">
        <f>IF(AND('Mapa final'!$K$145="Media",'Mapa final'!$O$145="Moderado"),CONCATENATE("R",'Mapa final'!$A$145),"")</f>
        <v/>
      </c>
      <c r="AI64" s="458"/>
      <c r="AJ64" s="458" t="str">
        <f>IF(AND('Mapa final'!$K$148="Media",'Mapa final'!$O$148="Moderado"),CONCATENATE("R",'Mapa final'!$A$148),"")</f>
        <v/>
      </c>
      <c r="AK64" s="458"/>
      <c r="AL64" s="458" t="str">
        <f>IF(AND('Mapa final'!$K$151="Media",'Mapa final'!$O$151="Moderado"),CONCATENATE("R",'Mapa final'!$A$151),"")</f>
        <v/>
      </c>
      <c r="AM64" s="459"/>
      <c r="AN64" s="463" t="str">
        <f>IF(AND('Mapa final'!$K$139="Media",'Mapa final'!$O$139="Mayor"),CONCATENATE("R",'Mapa final'!$A$139),"")</f>
        <v/>
      </c>
      <c r="AO64" s="461"/>
      <c r="AP64" s="461" t="str">
        <f>IF(AND('Mapa final'!$K$142="Media",'Mapa final'!$O$142="Mayor"),CONCATENATE("R",'Mapa final'!$A$142),"")</f>
        <v/>
      </c>
      <c r="AQ64" s="461"/>
      <c r="AR64" s="461" t="str">
        <f>IF(AND('Mapa final'!$K$145="Media",'Mapa final'!$O$145="Mayor"),CONCATENATE("R",'Mapa final'!$A$145),"")</f>
        <v/>
      </c>
      <c r="AS64" s="461"/>
      <c r="AT64" s="461" t="str">
        <f>IF(AND('Mapa final'!$K$148="Media",'Mapa final'!$O$148="Mayor"),CONCATENATE("R",'Mapa final'!$A$148),"")</f>
        <v/>
      </c>
      <c r="AU64" s="461"/>
      <c r="AV64" s="461" t="str">
        <f>IF(AND('Mapa final'!$K$151="Media",'Mapa final'!$O$151="Mayor"),CONCATENATE("R",'Mapa final'!$A$151),"")</f>
        <v/>
      </c>
      <c r="AW64" s="462"/>
      <c r="AX64" s="457" t="str">
        <f>IF(AND('Mapa final'!$K$139="Media",'Mapa final'!$O$139="Catastrófico"),CONCATENATE("R",'Mapa final'!$A$139),"")</f>
        <v/>
      </c>
      <c r="AY64" s="455"/>
      <c r="AZ64" s="455" t="str">
        <f>IF(AND('Mapa final'!$K$142="Media",'Mapa final'!$O$142="Catastrófico"),CONCATENATE("R",'Mapa final'!$A$142),"")</f>
        <v/>
      </c>
      <c r="BA64" s="455"/>
      <c r="BB64" s="455" t="str">
        <f>IF(AND('Mapa final'!$K$145="Media",'Mapa final'!$O$145="Catastrófico"),CONCATENATE("R",'Mapa final'!$A$145),"")</f>
        <v/>
      </c>
      <c r="BC64" s="455"/>
      <c r="BD64" s="455" t="str">
        <f>IF(AND('Mapa final'!$K$148="Media",'Mapa final'!$O$148="Catastrófico"),CONCATENATE("R",'Mapa final'!$A$148),"")</f>
        <v/>
      </c>
      <c r="BE64" s="455"/>
      <c r="BF64" s="455" t="str">
        <f>IF(AND('Mapa final'!$K$151="Media",'Mapa final'!$O$151="Catastrófico"),CONCATENATE("R",'Mapa final'!$A$151),"")</f>
        <v/>
      </c>
      <c r="BG64" s="456"/>
      <c r="BH64" s="56"/>
      <c r="BI64" s="507"/>
      <c r="BJ64" s="508"/>
      <c r="BK64" s="508"/>
      <c r="BL64" s="508"/>
      <c r="BM64" s="508"/>
      <c r="BN64" s="509"/>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row>
    <row r="65" spans="1:100" ht="15.75" customHeight="1" thickBot="1" x14ac:dyDescent="0.4">
      <c r="A65" s="56"/>
      <c r="B65" s="300"/>
      <c r="C65" s="300"/>
      <c r="D65" s="301"/>
      <c r="E65" s="527"/>
      <c r="F65" s="528"/>
      <c r="G65" s="528"/>
      <c r="H65" s="528"/>
      <c r="I65" s="528"/>
      <c r="J65" s="470"/>
      <c r="K65" s="471"/>
      <c r="L65" s="471"/>
      <c r="M65" s="471"/>
      <c r="N65" s="471"/>
      <c r="O65" s="471"/>
      <c r="P65" s="471"/>
      <c r="Q65" s="471"/>
      <c r="R65" s="471"/>
      <c r="S65" s="472"/>
      <c r="T65" s="470"/>
      <c r="U65" s="471"/>
      <c r="V65" s="471"/>
      <c r="W65" s="471"/>
      <c r="X65" s="471"/>
      <c r="Y65" s="471"/>
      <c r="Z65" s="471"/>
      <c r="AA65" s="471"/>
      <c r="AB65" s="471"/>
      <c r="AC65" s="472"/>
      <c r="AD65" s="470"/>
      <c r="AE65" s="471"/>
      <c r="AF65" s="471"/>
      <c r="AG65" s="471"/>
      <c r="AH65" s="471"/>
      <c r="AI65" s="471"/>
      <c r="AJ65" s="471"/>
      <c r="AK65" s="471"/>
      <c r="AL65" s="471"/>
      <c r="AM65" s="472"/>
      <c r="AN65" s="464"/>
      <c r="AO65" s="465"/>
      <c r="AP65" s="465"/>
      <c r="AQ65" s="465"/>
      <c r="AR65" s="465"/>
      <c r="AS65" s="465"/>
      <c r="AT65" s="465"/>
      <c r="AU65" s="465"/>
      <c r="AV65" s="465"/>
      <c r="AW65" s="466"/>
      <c r="AX65" s="477"/>
      <c r="AY65" s="476"/>
      <c r="AZ65" s="476"/>
      <c r="BA65" s="476"/>
      <c r="BB65" s="476"/>
      <c r="BC65" s="476"/>
      <c r="BD65" s="476"/>
      <c r="BE65" s="476"/>
      <c r="BF65" s="476"/>
      <c r="BG65" s="478"/>
      <c r="BH65" s="56"/>
      <c r="BI65" s="507"/>
      <c r="BJ65" s="508"/>
      <c r="BK65" s="508"/>
      <c r="BL65" s="508"/>
      <c r="BM65" s="508"/>
      <c r="BN65" s="509"/>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row>
    <row r="66" spans="1:100" ht="15" customHeight="1" x14ac:dyDescent="0.35">
      <c r="A66" s="56"/>
      <c r="B66" s="300"/>
      <c r="C66" s="300"/>
      <c r="D66" s="301"/>
      <c r="E66" s="522" t="s">
        <v>105</v>
      </c>
      <c r="F66" s="523"/>
      <c r="G66" s="523"/>
      <c r="H66" s="523"/>
      <c r="I66" s="523"/>
      <c r="J66" s="537" t="str">
        <f>IF(AND('Mapa final'!$K$7="Baja",'Mapa final'!$O$7="Leve"),CONCATENATE("R",'Mapa final'!$A$7),"")</f>
        <v/>
      </c>
      <c r="K66" s="483"/>
      <c r="L66" s="483" t="str">
        <f>IF(AND('Mapa final'!$K$10="Baja",'Mapa final'!$O$10="Leve"),CONCATENATE("R",'Mapa final'!$A$10),"")</f>
        <v/>
      </c>
      <c r="M66" s="483"/>
      <c r="N66" s="483" t="str">
        <f>IF(AND('Mapa final'!$K$13="Baja",'Mapa final'!$O$13="Leve"),CONCATENATE("R",'Mapa final'!$A$13),"")</f>
        <v/>
      </c>
      <c r="O66" s="483"/>
      <c r="P66" s="483" t="e">
        <f>IF(AND('Mapa final'!#REF!="Baja",'Mapa final'!#REF!="Leve"),CONCATENATE("R",'Mapa final'!#REF!),"")</f>
        <v>#REF!</v>
      </c>
      <c r="Q66" s="483"/>
      <c r="R66" s="483" t="str">
        <f>IF(AND('Mapa final'!$K$16="Baja",'Mapa final'!$O$16="Leve"),CONCATENATE("R",'Mapa final'!$A$16),"")</f>
        <v/>
      </c>
      <c r="S66" s="485"/>
      <c r="T66" s="467" t="str">
        <f>IF(AND('Mapa final'!$K$7="Baja",'Mapa final'!$O$7="Menor"),CONCATENATE("R",'Mapa final'!$A$7),"")</f>
        <v/>
      </c>
      <c r="U66" s="468"/>
      <c r="V66" s="468" t="str">
        <f>IF(AND('Mapa final'!$K$10="Baja",'Mapa final'!$O$10="Menor"),CONCATENATE("R",'Mapa final'!$A$10),"")</f>
        <v/>
      </c>
      <c r="W66" s="468"/>
      <c r="X66" s="468" t="str">
        <f>IF(AND('Mapa final'!$K$13="Baja",'Mapa final'!$O$13="Menor"),CONCATENATE("R",'Mapa final'!$A$13),"")</f>
        <v/>
      </c>
      <c r="Y66" s="468"/>
      <c r="Z66" s="468" t="e">
        <f>IF(AND('Mapa final'!#REF!="Baja",'Mapa final'!#REF!="Menor"),CONCATENATE("R",'Mapa final'!#REF!),"")</f>
        <v>#REF!</v>
      </c>
      <c r="AA66" s="468"/>
      <c r="AB66" s="468" t="str">
        <f>IF(AND('Mapa final'!$K$16="Baja",'Mapa final'!$O$16="Menor"),CONCATENATE("R",'Mapa final'!$A$16),"")</f>
        <v/>
      </c>
      <c r="AC66" s="469"/>
      <c r="AD66" s="467" t="str">
        <f>IF(AND('Mapa final'!$K$7="Baja",'Mapa final'!$O$7="Moderado"),CONCATENATE("R",'Mapa final'!$A$7),"")</f>
        <v>R1</v>
      </c>
      <c r="AE66" s="468"/>
      <c r="AF66" s="468" t="str">
        <f>IF(AND('Mapa final'!$K$10="Baja",'Mapa final'!$O$10="Moderado"),CONCATENATE("R",'Mapa final'!$A$10),"")</f>
        <v/>
      </c>
      <c r="AG66" s="468"/>
      <c r="AH66" s="468" t="str">
        <f>IF(AND('Mapa final'!$K$13="Baja",'Mapa final'!$O$13="Moderado"),CONCATENATE("R",'Mapa final'!$A$13),"")</f>
        <v/>
      </c>
      <c r="AI66" s="468"/>
      <c r="AJ66" s="468" t="e">
        <f>IF(AND('Mapa final'!#REF!="Baja",'Mapa final'!#REF!="Moderado"),CONCATENATE("R",'Mapa final'!#REF!),"")</f>
        <v>#REF!</v>
      </c>
      <c r="AK66" s="468"/>
      <c r="AL66" s="468" t="str">
        <f>IF(AND('Mapa final'!$K$16="Baja",'Mapa final'!$O$16="Moderado"),CONCATENATE("R",'Mapa final'!$A$16),"")</f>
        <v/>
      </c>
      <c r="AM66" s="469"/>
      <c r="AN66" s="473" t="str">
        <f>IF(AND('Mapa final'!$K$7="Baja",'Mapa final'!$O$7="Mayor"),CONCATENATE("R",'Mapa final'!$A$7),"")</f>
        <v/>
      </c>
      <c r="AO66" s="474"/>
      <c r="AP66" s="474" t="str">
        <f>IF(AND('Mapa final'!$K$10="Baja",'Mapa final'!$O$10="Mayor"),CONCATENATE("R",'Mapa final'!$A$10),"")</f>
        <v/>
      </c>
      <c r="AQ66" s="474"/>
      <c r="AR66" s="474" t="str">
        <f>IF(AND('Mapa final'!$K$13="Baja",'Mapa final'!$O$13="Mayor"),CONCATENATE("R",'Mapa final'!$A$13),"")</f>
        <v/>
      </c>
      <c r="AS66" s="474"/>
      <c r="AT66" s="474" t="e">
        <f>IF(AND('Mapa final'!#REF!="Baja",'Mapa final'!#REF!="Mayor"),CONCATENATE("R",'Mapa final'!#REF!),"")</f>
        <v>#REF!</v>
      </c>
      <c r="AU66" s="474"/>
      <c r="AV66" s="474" t="str">
        <f>IF(AND('Mapa final'!$K$16="Baja",'Mapa final'!$O$16="Mayor"),CONCATENATE("R",'Mapa final'!$A$16),"")</f>
        <v/>
      </c>
      <c r="AW66" s="475"/>
      <c r="AX66" s="480" t="str">
        <f>IF(AND('Mapa final'!$K$7="Baja",'Mapa final'!$O$7="Catastrófico"),CONCATENATE("R",'Mapa final'!$A$7),"")</f>
        <v/>
      </c>
      <c r="AY66" s="479"/>
      <c r="AZ66" s="479" t="str">
        <f>IF(AND('Mapa final'!$K$10="Baja",'Mapa final'!$O$10="Catastrófico"),CONCATENATE("R",'Mapa final'!$A$10),"")</f>
        <v/>
      </c>
      <c r="BA66" s="479"/>
      <c r="BB66" s="479" t="str">
        <f>IF(AND('Mapa final'!$K$13="Baja",'Mapa final'!$O$13="Catastrófico"),CONCATENATE("R",'Mapa final'!$A$13),"")</f>
        <v/>
      </c>
      <c r="BC66" s="479"/>
      <c r="BD66" s="479" t="e">
        <f>IF(AND('Mapa final'!#REF!="Baja",'Mapa final'!#REF!="Catastrófico"),CONCATENATE("R",'Mapa final'!#REF!),"")</f>
        <v>#REF!</v>
      </c>
      <c r="BE66" s="479"/>
      <c r="BF66" s="479" t="str">
        <f>IF(AND('Mapa final'!$K$16="Baja",'Mapa final'!$O$16="Catastrófico"),CONCATENATE("R",'Mapa final'!$A$16),"")</f>
        <v/>
      </c>
      <c r="BG66" s="536"/>
      <c r="BH66" s="56"/>
      <c r="BI66" s="507"/>
      <c r="BJ66" s="508"/>
      <c r="BK66" s="508"/>
      <c r="BL66" s="508"/>
      <c r="BM66" s="508"/>
      <c r="BN66" s="509"/>
      <c r="BO66" s="56"/>
      <c r="BP66" s="56"/>
      <c r="BQ66" s="56"/>
      <c r="BR66" s="56"/>
      <c r="BS66" s="56"/>
      <c r="BT66" s="56"/>
      <c r="BU66" s="56"/>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row>
    <row r="67" spans="1:100" ht="15" customHeight="1" x14ac:dyDescent="0.35">
      <c r="A67" s="56"/>
      <c r="B67" s="300"/>
      <c r="C67" s="300"/>
      <c r="D67" s="301"/>
      <c r="E67" s="524"/>
      <c r="F67" s="525"/>
      <c r="G67" s="525"/>
      <c r="H67" s="525"/>
      <c r="I67" s="526"/>
      <c r="J67" s="452"/>
      <c r="K67" s="453"/>
      <c r="L67" s="453"/>
      <c r="M67" s="453"/>
      <c r="N67" s="453"/>
      <c r="O67" s="453"/>
      <c r="P67" s="453"/>
      <c r="Q67" s="453"/>
      <c r="R67" s="453"/>
      <c r="S67" s="454"/>
      <c r="T67" s="460"/>
      <c r="U67" s="458"/>
      <c r="V67" s="458"/>
      <c r="W67" s="458"/>
      <c r="X67" s="458"/>
      <c r="Y67" s="458"/>
      <c r="Z67" s="458"/>
      <c r="AA67" s="458"/>
      <c r="AB67" s="458"/>
      <c r="AC67" s="459"/>
      <c r="AD67" s="460"/>
      <c r="AE67" s="458"/>
      <c r="AF67" s="458"/>
      <c r="AG67" s="458"/>
      <c r="AH67" s="458"/>
      <c r="AI67" s="458"/>
      <c r="AJ67" s="458"/>
      <c r="AK67" s="458"/>
      <c r="AL67" s="458"/>
      <c r="AM67" s="459"/>
      <c r="AN67" s="463"/>
      <c r="AO67" s="461"/>
      <c r="AP67" s="461"/>
      <c r="AQ67" s="461"/>
      <c r="AR67" s="461"/>
      <c r="AS67" s="461"/>
      <c r="AT67" s="461"/>
      <c r="AU67" s="461"/>
      <c r="AV67" s="461"/>
      <c r="AW67" s="462"/>
      <c r="AX67" s="457"/>
      <c r="AY67" s="455"/>
      <c r="AZ67" s="455"/>
      <c r="BA67" s="455"/>
      <c r="BB67" s="455"/>
      <c r="BC67" s="455"/>
      <c r="BD67" s="455"/>
      <c r="BE67" s="455"/>
      <c r="BF67" s="455"/>
      <c r="BG67" s="456"/>
      <c r="BH67" s="56"/>
      <c r="BI67" s="507"/>
      <c r="BJ67" s="508"/>
      <c r="BK67" s="508"/>
      <c r="BL67" s="508"/>
      <c r="BM67" s="508"/>
      <c r="BN67" s="509"/>
      <c r="BO67" s="56"/>
      <c r="BP67" s="56"/>
      <c r="BQ67" s="56"/>
      <c r="BR67" s="56"/>
      <c r="BS67" s="56"/>
      <c r="BT67" s="56"/>
      <c r="BU67" s="56"/>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row>
    <row r="68" spans="1:100" ht="15" customHeight="1" x14ac:dyDescent="0.35">
      <c r="A68" s="56"/>
      <c r="B68" s="300"/>
      <c r="C68" s="300"/>
      <c r="D68" s="301"/>
      <c r="E68" s="524"/>
      <c r="F68" s="525"/>
      <c r="G68" s="525"/>
      <c r="H68" s="525"/>
      <c r="I68" s="526"/>
      <c r="J68" s="452" t="str">
        <f>IF(AND('Mapa final'!$K$19="Baja",'Mapa final'!$O$19="Leve"),CONCATENATE("R",'Mapa final'!$A$19),"")</f>
        <v/>
      </c>
      <c r="K68" s="453"/>
      <c r="L68" s="453" t="str">
        <f>IF(AND('Mapa final'!$K$22="Baja",'Mapa final'!$O$22="Leve"),CONCATENATE("R",'Mapa final'!$A$22),"")</f>
        <v/>
      </c>
      <c r="M68" s="453"/>
      <c r="N68" s="453" t="str">
        <f>IF(AND('Mapa final'!$K$25="Baja",'Mapa final'!$O$25="Leve"),CONCATENATE("R",'Mapa final'!$A$25),"")</f>
        <v/>
      </c>
      <c r="O68" s="453"/>
      <c r="P68" s="453" t="str">
        <f>IF(AND('Mapa final'!$K$28="Baja",'Mapa final'!$O$28="Leve"),CONCATENATE("R",'Mapa final'!$A$28),"")</f>
        <v/>
      </c>
      <c r="Q68" s="453"/>
      <c r="R68" s="453" t="str">
        <f>IF(AND('Mapa final'!$K$31="Baja",'Mapa final'!$O$31="Leve"),CONCATENATE("R",'Mapa final'!$A$31),"")</f>
        <v/>
      </c>
      <c r="S68" s="454"/>
      <c r="T68" s="460" t="str">
        <f>IF(AND('Mapa final'!$K$19="Baja",'Mapa final'!$O$19="Menor"),CONCATENATE("R",'Mapa final'!$A$19),"")</f>
        <v/>
      </c>
      <c r="U68" s="458"/>
      <c r="V68" s="458" t="str">
        <f>IF(AND('Mapa final'!$K$22="Baja",'Mapa final'!$O$22="Menor"),CONCATENATE("R",'Mapa final'!$A$22),"")</f>
        <v/>
      </c>
      <c r="W68" s="458"/>
      <c r="X68" s="458" t="str">
        <f>IF(AND('Mapa final'!$K$25="Baja",'Mapa final'!$O$25="Menor"),CONCATENATE("R",'Mapa final'!$A$25),"")</f>
        <v/>
      </c>
      <c r="Y68" s="458"/>
      <c r="Z68" s="458" t="str">
        <f>IF(AND('Mapa final'!$K$28="Baja",'Mapa final'!$O$28="Menor"),CONCATENATE("R",'Mapa final'!$A$28),"")</f>
        <v/>
      </c>
      <c r="AA68" s="458"/>
      <c r="AB68" s="458" t="str">
        <f>IF(AND('Mapa final'!$K$31="Baja",'Mapa final'!$O$31="Menor"),CONCATENATE("R",'Mapa final'!$A$31),"")</f>
        <v/>
      </c>
      <c r="AC68" s="459"/>
      <c r="AD68" s="460" t="str">
        <f>IF(AND('Mapa final'!$K$19="Baja",'Mapa final'!$O$19="Moderado"),CONCATENATE("R",'Mapa final'!$A$19),"")</f>
        <v/>
      </c>
      <c r="AE68" s="458"/>
      <c r="AF68" s="458" t="str">
        <f>IF(AND('Mapa final'!$K$22="Baja",'Mapa final'!$O$22="Moderado"),CONCATENATE("R",'Mapa final'!$A$22),"")</f>
        <v/>
      </c>
      <c r="AG68" s="458"/>
      <c r="AH68" s="458" t="str">
        <f>IF(AND('Mapa final'!$K$25="Baja",'Mapa final'!$O$25="Moderado"),CONCATENATE("R",'Mapa final'!$A$25),"")</f>
        <v/>
      </c>
      <c r="AI68" s="458"/>
      <c r="AJ68" s="458" t="str">
        <f>IF(AND('Mapa final'!$K$28="Baja",'Mapa final'!$O$28="Moderado"),CONCATENATE("R",'Mapa final'!$A$28),"")</f>
        <v/>
      </c>
      <c r="AK68" s="458"/>
      <c r="AL68" s="458" t="str">
        <f>IF(AND('Mapa final'!$K$31="Baja",'Mapa final'!$O$31="Moderado"),CONCATENATE("R",'Mapa final'!$A$31),"")</f>
        <v/>
      </c>
      <c r="AM68" s="459"/>
      <c r="AN68" s="463" t="str">
        <f>IF(AND('Mapa final'!$K$19="Baja",'Mapa final'!$O$19="Mayor"),CONCATENATE("R",'Mapa final'!$A$19),"")</f>
        <v/>
      </c>
      <c r="AO68" s="461"/>
      <c r="AP68" s="461" t="str">
        <f>IF(AND('Mapa final'!$K$22="Baja",'Mapa final'!$O$22="Mayor"),CONCATENATE("R",'Mapa final'!$A$22),"")</f>
        <v/>
      </c>
      <c r="AQ68" s="461"/>
      <c r="AR68" s="461" t="str">
        <f>IF(AND('Mapa final'!$K$25="Baja",'Mapa final'!$O$25="Mayor"),CONCATENATE("R",'Mapa final'!$A$25),"")</f>
        <v/>
      </c>
      <c r="AS68" s="461"/>
      <c r="AT68" s="461" t="str">
        <f>IF(AND('Mapa final'!$K$28="Baja",'Mapa final'!$O$28="Mayor"),CONCATENATE("R",'Mapa final'!$A$28),"")</f>
        <v/>
      </c>
      <c r="AU68" s="461"/>
      <c r="AV68" s="461" t="str">
        <f>IF(AND('Mapa final'!$K$31="Baja",'Mapa final'!$O$31="Mayor"),CONCATENATE("R",'Mapa final'!$A$31),"")</f>
        <v/>
      </c>
      <c r="AW68" s="462"/>
      <c r="AX68" s="457" t="str">
        <f>IF(AND('Mapa final'!$K$19="Baja",'Mapa final'!$O$19="Catastrófico"),CONCATENATE("R",'Mapa final'!$A$19),"")</f>
        <v/>
      </c>
      <c r="AY68" s="455"/>
      <c r="AZ68" s="455" t="str">
        <f>IF(AND('Mapa final'!$K$22="Baja",'Mapa final'!$O$22="Catastrófico"),CONCATENATE("R",'Mapa final'!$A$22),"")</f>
        <v/>
      </c>
      <c r="BA68" s="455"/>
      <c r="BB68" s="455" t="str">
        <f>IF(AND('Mapa final'!$K$25="Baja",'Mapa final'!$O$25="Catastrófico"),CONCATENATE("R",'Mapa final'!$A$25),"")</f>
        <v/>
      </c>
      <c r="BC68" s="455"/>
      <c r="BD68" s="455" t="str">
        <f>IF(AND('Mapa final'!$K$28="Baja",'Mapa final'!$O$28="Catastrófico"),CONCATENATE("R",'Mapa final'!$A$28),"")</f>
        <v/>
      </c>
      <c r="BE68" s="455"/>
      <c r="BF68" s="455" t="str">
        <f>IF(AND('Mapa final'!$K$31="Baja",'Mapa final'!$O$31="Catastrófico"),CONCATENATE("R",'Mapa final'!$A$31),"")</f>
        <v/>
      </c>
      <c r="BG68" s="456"/>
      <c r="BH68" s="56"/>
      <c r="BI68" s="507"/>
      <c r="BJ68" s="508"/>
      <c r="BK68" s="508"/>
      <c r="BL68" s="508"/>
      <c r="BM68" s="508"/>
      <c r="BN68" s="509"/>
      <c r="BO68" s="56"/>
      <c r="BP68" s="56"/>
      <c r="BQ68" s="56"/>
      <c r="BR68" s="56"/>
      <c r="BS68" s="56"/>
      <c r="BT68" s="56"/>
      <c r="BU68" s="56"/>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row>
    <row r="69" spans="1:100" ht="15" customHeight="1" x14ac:dyDescent="0.35">
      <c r="A69" s="56"/>
      <c r="B69" s="300"/>
      <c r="C69" s="300"/>
      <c r="D69" s="301"/>
      <c r="E69" s="524"/>
      <c r="F69" s="525"/>
      <c r="G69" s="525"/>
      <c r="H69" s="525"/>
      <c r="I69" s="526"/>
      <c r="J69" s="452"/>
      <c r="K69" s="453"/>
      <c r="L69" s="453"/>
      <c r="M69" s="453"/>
      <c r="N69" s="453"/>
      <c r="O69" s="453"/>
      <c r="P69" s="453"/>
      <c r="Q69" s="453"/>
      <c r="R69" s="453"/>
      <c r="S69" s="454"/>
      <c r="T69" s="460"/>
      <c r="U69" s="458"/>
      <c r="V69" s="458"/>
      <c r="W69" s="458"/>
      <c r="X69" s="458"/>
      <c r="Y69" s="458"/>
      <c r="Z69" s="458"/>
      <c r="AA69" s="458"/>
      <c r="AB69" s="458"/>
      <c r="AC69" s="459"/>
      <c r="AD69" s="460"/>
      <c r="AE69" s="458"/>
      <c r="AF69" s="458"/>
      <c r="AG69" s="458"/>
      <c r="AH69" s="458"/>
      <c r="AI69" s="458"/>
      <c r="AJ69" s="458"/>
      <c r="AK69" s="458"/>
      <c r="AL69" s="458"/>
      <c r="AM69" s="459"/>
      <c r="AN69" s="463"/>
      <c r="AO69" s="461"/>
      <c r="AP69" s="461"/>
      <c r="AQ69" s="461"/>
      <c r="AR69" s="461"/>
      <c r="AS69" s="461"/>
      <c r="AT69" s="461"/>
      <c r="AU69" s="461"/>
      <c r="AV69" s="461"/>
      <c r="AW69" s="462"/>
      <c r="AX69" s="457"/>
      <c r="AY69" s="455"/>
      <c r="AZ69" s="455"/>
      <c r="BA69" s="455"/>
      <c r="BB69" s="455"/>
      <c r="BC69" s="455"/>
      <c r="BD69" s="455"/>
      <c r="BE69" s="455"/>
      <c r="BF69" s="455"/>
      <c r="BG69" s="456"/>
      <c r="BH69" s="56"/>
      <c r="BI69" s="507"/>
      <c r="BJ69" s="508"/>
      <c r="BK69" s="508"/>
      <c r="BL69" s="508"/>
      <c r="BM69" s="508"/>
      <c r="BN69" s="509"/>
      <c r="BO69" s="56"/>
      <c r="BP69" s="56"/>
      <c r="BQ69" s="56"/>
      <c r="BR69" s="56"/>
      <c r="BS69" s="56"/>
      <c r="BT69" s="56"/>
      <c r="BU69" s="56"/>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row>
    <row r="70" spans="1:100" ht="15" customHeight="1" x14ac:dyDescent="0.35">
      <c r="A70" s="56"/>
      <c r="B70" s="300"/>
      <c r="C70" s="300"/>
      <c r="D70" s="301"/>
      <c r="E70" s="524"/>
      <c r="F70" s="525"/>
      <c r="G70" s="525"/>
      <c r="H70" s="525"/>
      <c r="I70" s="526"/>
      <c r="J70" s="452" t="str">
        <f>IF(AND('Mapa final'!$K$34="Baja",'Mapa final'!$O$34="Leve"),CONCATENATE("R",'Mapa final'!$A$34),"")</f>
        <v/>
      </c>
      <c r="K70" s="453"/>
      <c r="L70" s="453" t="str">
        <f>IF(AND('Mapa final'!$K$37="Baja",'Mapa final'!$O$37="Leve"),CONCATENATE("R",'Mapa final'!$A$37),"")</f>
        <v/>
      </c>
      <c r="M70" s="453"/>
      <c r="N70" s="453" t="str">
        <f>IF(AND('Mapa final'!$K$40="Baja",'Mapa final'!$O$40="Leve"),CONCATENATE("R",'Mapa final'!$A$40),"")</f>
        <v/>
      </c>
      <c r="O70" s="453"/>
      <c r="P70" s="453" t="str">
        <f>IF(AND('Mapa final'!$K$43="Baja",'Mapa final'!$O$43="Leve"),CONCATENATE("R",'Mapa final'!$A$43),"")</f>
        <v/>
      </c>
      <c r="Q70" s="453"/>
      <c r="R70" s="453" t="str">
        <f>IF(AND('Mapa final'!$K$46="Baja",'Mapa final'!$O$46="Leve"),CONCATENATE("R",'Mapa final'!$A$46),"")</f>
        <v/>
      </c>
      <c r="S70" s="454"/>
      <c r="T70" s="460" t="str">
        <f>IF(AND('Mapa final'!$K$34="Baja",'Mapa final'!$O$34="Menor"),CONCATENATE("R",'Mapa final'!$A$34),"")</f>
        <v/>
      </c>
      <c r="U70" s="458"/>
      <c r="V70" s="458" t="str">
        <f>IF(AND('Mapa final'!$K$37="Baja",'Mapa final'!$O$37="Menor"),CONCATENATE("R",'Mapa final'!$A$37),"")</f>
        <v/>
      </c>
      <c r="W70" s="458"/>
      <c r="X70" s="458" t="str">
        <f>IF(AND('Mapa final'!$K$40="Baja",'Mapa final'!$O$40="Menor"),CONCATENATE("R",'Mapa final'!$A$40),"")</f>
        <v/>
      </c>
      <c r="Y70" s="458"/>
      <c r="Z70" s="458" t="str">
        <f>IF(AND('Mapa final'!$K$43="Baja",'Mapa final'!$O$43="Menor"),CONCATENATE("R",'Mapa final'!$A$43),"")</f>
        <v/>
      </c>
      <c r="AA70" s="458"/>
      <c r="AB70" s="458" t="str">
        <f>IF(AND('Mapa final'!$K$46="Baja",'Mapa final'!$O$46="Menor"),CONCATENATE("R",'Mapa final'!$A$46),"")</f>
        <v/>
      </c>
      <c r="AC70" s="459"/>
      <c r="AD70" s="460" t="str">
        <f>IF(AND('Mapa final'!$K$34="Baja",'Mapa final'!$O$34="Moderado"),CONCATENATE("R",'Mapa final'!$A$34),"")</f>
        <v/>
      </c>
      <c r="AE70" s="458"/>
      <c r="AF70" s="458" t="str">
        <f>IF(AND('Mapa final'!$K$37="Baja",'Mapa final'!$O$37="Moderado"),CONCATENATE("R",'Mapa final'!$A$37),"")</f>
        <v>R11</v>
      </c>
      <c r="AG70" s="458"/>
      <c r="AH70" s="458" t="str">
        <f>IF(AND('Mapa final'!$K$40="Baja",'Mapa final'!$O$40="Moderado"),CONCATENATE("R",'Mapa final'!$A$40),"")</f>
        <v/>
      </c>
      <c r="AI70" s="458"/>
      <c r="AJ70" s="458" t="str">
        <f>IF(AND('Mapa final'!$K$43="Baja",'Mapa final'!$O$43="Moderado"),CONCATENATE("R",'Mapa final'!$A$43),"")</f>
        <v>R13</v>
      </c>
      <c r="AK70" s="458"/>
      <c r="AL70" s="458" t="str">
        <f>IF(AND('Mapa final'!$K$46="Baja",'Mapa final'!$O$46="Moderado"),CONCATENATE("R",'Mapa final'!$A$46),"")</f>
        <v/>
      </c>
      <c r="AM70" s="459"/>
      <c r="AN70" s="463" t="str">
        <f>IF(AND('Mapa final'!$K$34="Baja",'Mapa final'!$O$34="Mayor"),CONCATENATE("R",'Mapa final'!$A$34),"")</f>
        <v>R10</v>
      </c>
      <c r="AO70" s="461"/>
      <c r="AP70" s="461" t="str">
        <f>IF(AND('Mapa final'!$K$37="Baja",'Mapa final'!$O$37="Mayor"),CONCATENATE("R",'Mapa final'!$A$37),"")</f>
        <v/>
      </c>
      <c r="AQ70" s="461"/>
      <c r="AR70" s="461" t="str">
        <f>IF(AND('Mapa final'!$K$40="Baja",'Mapa final'!$O$40="Mayor"),CONCATENATE("R",'Mapa final'!$A$40),"")</f>
        <v/>
      </c>
      <c r="AS70" s="461"/>
      <c r="AT70" s="461" t="str">
        <f>IF(AND('Mapa final'!$K$43="Baja",'Mapa final'!$O$43="Mayor"),CONCATENATE("R",'Mapa final'!$A$43),"")</f>
        <v/>
      </c>
      <c r="AU70" s="461"/>
      <c r="AV70" s="461" t="str">
        <f>IF(AND('Mapa final'!$K$46="Baja",'Mapa final'!$O$46="Mayor"),CONCATENATE("R",'Mapa final'!$A$46),"")</f>
        <v/>
      </c>
      <c r="AW70" s="462"/>
      <c r="AX70" s="457" t="str">
        <f>IF(AND('Mapa final'!$K$34="Baja",'Mapa final'!$O$34="Catastrófico"),CONCATENATE("R",'Mapa final'!$A$34),"")</f>
        <v/>
      </c>
      <c r="AY70" s="455"/>
      <c r="AZ70" s="455" t="str">
        <f>IF(AND('Mapa final'!$K$37="Baja",'Mapa final'!$O$37="Catastrófico"),CONCATENATE("R",'Mapa final'!$A$37),"")</f>
        <v/>
      </c>
      <c r="BA70" s="455"/>
      <c r="BB70" s="455" t="str">
        <f>IF(AND('Mapa final'!$K$40="Baja",'Mapa final'!$O$40="Catastrófico"),CONCATENATE("R",'Mapa final'!$A$40),"")</f>
        <v/>
      </c>
      <c r="BC70" s="455"/>
      <c r="BD70" s="455" t="str">
        <f>IF(AND('Mapa final'!$K$43="Baja",'Mapa final'!$O$43="Catastrófico"),CONCATENATE("R",'Mapa final'!$A$43),"")</f>
        <v/>
      </c>
      <c r="BE70" s="455"/>
      <c r="BF70" s="455" t="str">
        <f>IF(AND('Mapa final'!$K$46="Baja",'Mapa final'!$O$46="Catastrófico"),CONCATENATE("R",'Mapa final'!$A$46),"")</f>
        <v/>
      </c>
      <c r="BG70" s="456"/>
      <c r="BH70" s="56"/>
      <c r="BI70" s="507"/>
      <c r="BJ70" s="508"/>
      <c r="BK70" s="508"/>
      <c r="BL70" s="508"/>
      <c r="BM70" s="508"/>
      <c r="BN70" s="509"/>
      <c r="BO70" s="56"/>
      <c r="BP70" s="56"/>
      <c r="BQ70" s="56"/>
      <c r="BR70" s="56"/>
      <c r="BS70" s="56"/>
      <c r="BT70" s="56"/>
      <c r="BU70" s="56"/>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row>
    <row r="71" spans="1:100" ht="15" customHeight="1" x14ac:dyDescent="0.35">
      <c r="A71" s="56"/>
      <c r="B71" s="300"/>
      <c r="C71" s="300"/>
      <c r="D71" s="301"/>
      <c r="E71" s="524"/>
      <c r="F71" s="525"/>
      <c r="G71" s="525"/>
      <c r="H71" s="525"/>
      <c r="I71" s="526"/>
      <c r="J71" s="452"/>
      <c r="K71" s="453"/>
      <c r="L71" s="453"/>
      <c r="M71" s="453"/>
      <c r="N71" s="453"/>
      <c r="O71" s="453"/>
      <c r="P71" s="453"/>
      <c r="Q71" s="453"/>
      <c r="R71" s="453"/>
      <c r="S71" s="454"/>
      <c r="T71" s="460"/>
      <c r="U71" s="458"/>
      <c r="V71" s="458"/>
      <c r="W71" s="458"/>
      <c r="X71" s="458"/>
      <c r="Y71" s="458"/>
      <c r="Z71" s="458"/>
      <c r="AA71" s="458"/>
      <c r="AB71" s="458"/>
      <c r="AC71" s="459"/>
      <c r="AD71" s="460"/>
      <c r="AE71" s="458"/>
      <c r="AF71" s="458"/>
      <c r="AG71" s="458"/>
      <c r="AH71" s="458"/>
      <c r="AI71" s="458"/>
      <c r="AJ71" s="458"/>
      <c r="AK71" s="458"/>
      <c r="AL71" s="458"/>
      <c r="AM71" s="459"/>
      <c r="AN71" s="463"/>
      <c r="AO71" s="461"/>
      <c r="AP71" s="461"/>
      <c r="AQ71" s="461"/>
      <c r="AR71" s="461"/>
      <c r="AS71" s="461"/>
      <c r="AT71" s="461"/>
      <c r="AU71" s="461"/>
      <c r="AV71" s="461"/>
      <c r="AW71" s="462"/>
      <c r="AX71" s="457"/>
      <c r="AY71" s="455"/>
      <c r="AZ71" s="455"/>
      <c r="BA71" s="455"/>
      <c r="BB71" s="455"/>
      <c r="BC71" s="455"/>
      <c r="BD71" s="455"/>
      <c r="BE71" s="455"/>
      <c r="BF71" s="455"/>
      <c r="BG71" s="456"/>
      <c r="BH71" s="56"/>
      <c r="BI71" s="507"/>
      <c r="BJ71" s="508"/>
      <c r="BK71" s="508"/>
      <c r="BL71" s="508"/>
      <c r="BM71" s="508"/>
      <c r="BN71" s="509"/>
      <c r="BO71" s="56"/>
      <c r="BP71" s="56"/>
      <c r="BQ71" s="56"/>
      <c r="BR71" s="56"/>
      <c r="BS71" s="56"/>
      <c r="BT71" s="56"/>
      <c r="BU71" s="56"/>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row>
    <row r="72" spans="1:100" ht="15" customHeight="1" x14ac:dyDescent="0.35">
      <c r="A72" s="56"/>
      <c r="B72" s="300"/>
      <c r="C72" s="300"/>
      <c r="D72" s="301"/>
      <c r="E72" s="524"/>
      <c r="F72" s="525"/>
      <c r="G72" s="525"/>
      <c r="H72" s="525"/>
      <c r="I72" s="526"/>
      <c r="J72" s="452" t="str">
        <f>IF(AND('Mapa final'!$K$49="Baja",'Mapa final'!$O$49="Leve"),CONCATENATE("R",'Mapa final'!$A$49),"")</f>
        <v/>
      </c>
      <c r="K72" s="453"/>
      <c r="L72" s="453" t="str">
        <f>IF(AND('Mapa final'!$K$52="Baja",'Mapa final'!$O$52="Leve"),CONCATENATE("R",'Mapa final'!$A$52),"")</f>
        <v/>
      </c>
      <c r="M72" s="453"/>
      <c r="N72" s="453" t="str">
        <f>IF(AND('Mapa final'!$K$55="Baja",'Mapa final'!$O$55="Leve"),CONCATENATE("R",'Mapa final'!$A$55),"")</f>
        <v/>
      </c>
      <c r="O72" s="453"/>
      <c r="P72" s="453" t="str">
        <f>IF(AND('Mapa final'!$K$58="Baja",'Mapa final'!$O$58="Leve"),CONCATENATE("R",'Mapa final'!$A$58),"")</f>
        <v/>
      </c>
      <c r="Q72" s="453"/>
      <c r="R72" s="453" t="str">
        <f>IF(AND('Mapa final'!$K$61="Baja",'Mapa final'!$O$61="Leve"),CONCATENATE("R",'Mapa final'!$A$61),"")</f>
        <v/>
      </c>
      <c r="S72" s="454"/>
      <c r="T72" s="460" t="str">
        <f>IF(AND('Mapa final'!$K$49="Baja",'Mapa final'!$O$49="Menor"),CONCATENATE("R",'Mapa final'!$A$49),"")</f>
        <v/>
      </c>
      <c r="U72" s="458"/>
      <c r="V72" s="458" t="str">
        <f>IF(AND('Mapa final'!$K$52="Baja",'Mapa final'!$O$52="Menor"),CONCATENATE("R",'Mapa final'!$A$52),"")</f>
        <v/>
      </c>
      <c r="W72" s="458"/>
      <c r="X72" s="458" t="str">
        <f>IF(AND('Mapa final'!$K$55="Baja",'Mapa final'!$O$55="Menor"),CONCATENATE("R",'Mapa final'!$A$55),"")</f>
        <v/>
      </c>
      <c r="Y72" s="458"/>
      <c r="Z72" s="458" t="str">
        <f>IF(AND('Mapa final'!$K$58="Baja",'Mapa final'!$O$58="Menor"),CONCATENATE("R",'Mapa final'!$A$58),"")</f>
        <v/>
      </c>
      <c r="AA72" s="458"/>
      <c r="AB72" s="458" t="str">
        <f>IF(AND('Mapa final'!$K$61="Baja",'Mapa final'!$O$61="Menor"),CONCATENATE("R",'Mapa final'!$A$61),"")</f>
        <v/>
      </c>
      <c r="AC72" s="459"/>
      <c r="AD72" s="460" t="str">
        <f>IF(AND('Mapa final'!$K$49="Baja",'Mapa final'!$O$49="Moderado"),CONCATENATE("R",'Mapa final'!$A$49),"")</f>
        <v/>
      </c>
      <c r="AE72" s="458"/>
      <c r="AF72" s="458" t="str">
        <f>IF(AND('Mapa final'!$K$52="Baja",'Mapa final'!$O$52="Moderado"),CONCATENATE("R",'Mapa final'!$A$52),"")</f>
        <v/>
      </c>
      <c r="AG72" s="458"/>
      <c r="AH72" s="458" t="str">
        <f>IF(AND('Mapa final'!$K$55="Baja",'Mapa final'!$O$55="Moderado"),CONCATENATE("R",'Mapa final'!$A$55),"")</f>
        <v/>
      </c>
      <c r="AI72" s="458"/>
      <c r="AJ72" s="458" t="str">
        <f>IF(AND('Mapa final'!$K$58="Baja",'Mapa final'!$O$58="Moderado"),CONCATENATE("R",'Mapa final'!$A$58),"")</f>
        <v/>
      </c>
      <c r="AK72" s="458"/>
      <c r="AL72" s="458" t="str">
        <f>IF(AND('Mapa final'!$K$61="Baja",'Mapa final'!$O$61="Moderado"),CONCATENATE("R",'Mapa final'!$A$61),"")</f>
        <v/>
      </c>
      <c r="AM72" s="459"/>
      <c r="AN72" s="463" t="str">
        <f>IF(AND('Mapa final'!$K$49="Baja",'Mapa final'!$O$49="Mayor"),CONCATENATE("R",'Mapa final'!$A$49),"")</f>
        <v/>
      </c>
      <c r="AO72" s="461"/>
      <c r="AP72" s="461" t="str">
        <f>IF(AND('Mapa final'!$K$52="Baja",'Mapa final'!$O$52="Mayor"),CONCATENATE("R",'Mapa final'!$A$52),"")</f>
        <v/>
      </c>
      <c r="AQ72" s="461"/>
      <c r="AR72" s="461" t="str">
        <f>IF(AND('Mapa final'!$K$55="Baja",'Mapa final'!$O$55="Mayor"),CONCATENATE("R",'Mapa final'!$A$55),"")</f>
        <v/>
      </c>
      <c r="AS72" s="461"/>
      <c r="AT72" s="461" t="str">
        <f>IF(AND('Mapa final'!$K$58="Baja",'Mapa final'!$O$58="Mayor"),CONCATENATE("R",'Mapa final'!$A$58),"")</f>
        <v/>
      </c>
      <c r="AU72" s="461"/>
      <c r="AV72" s="461" t="str">
        <f>IF(AND('Mapa final'!$K$61="Baja",'Mapa final'!$O$61="Mayor"),CONCATENATE("R",'Mapa final'!$A$61),"")</f>
        <v/>
      </c>
      <c r="AW72" s="462"/>
      <c r="AX72" s="457" t="str">
        <f>IF(AND('Mapa final'!$K$49="Baja",'Mapa final'!$O$49="Catastrófico"),CONCATENATE("R",'Mapa final'!$A$49),"")</f>
        <v/>
      </c>
      <c r="AY72" s="455"/>
      <c r="AZ72" s="455" t="str">
        <f>IF(AND('Mapa final'!$K$52="Baja",'Mapa final'!$O$52="Catastrófico"),CONCATENATE("R",'Mapa final'!$A$52),"")</f>
        <v/>
      </c>
      <c r="BA72" s="455"/>
      <c r="BB72" s="455" t="str">
        <f>IF(AND('Mapa final'!$K$55="Baja",'Mapa final'!$O$55="Catastrófico"),CONCATENATE("R",'Mapa final'!$A$55),"")</f>
        <v/>
      </c>
      <c r="BC72" s="455"/>
      <c r="BD72" s="455" t="str">
        <f>IF(AND('Mapa final'!$K$58="Baja",'Mapa final'!$O$58="Catastrófico"),CONCATENATE("R",'Mapa final'!$A$58),"")</f>
        <v/>
      </c>
      <c r="BE72" s="455"/>
      <c r="BF72" s="455" t="str">
        <f>IF(AND('Mapa final'!$K$61="Baja",'Mapa final'!$O$61="Catastrófico"),CONCATENATE("R",'Mapa final'!$A$61),"")</f>
        <v/>
      </c>
      <c r="BG72" s="456"/>
      <c r="BH72" s="56"/>
      <c r="BI72" s="507"/>
      <c r="BJ72" s="508"/>
      <c r="BK72" s="508"/>
      <c r="BL72" s="508"/>
      <c r="BM72" s="508"/>
      <c r="BN72" s="509"/>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row>
    <row r="73" spans="1:100" ht="15" customHeight="1" thickBot="1" x14ac:dyDescent="0.4">
      <c r="A73" s="56"/>
      <c r="B73" s="300"/>
      <c r="C73" s="300"/>
      <c r="D73" s="301"/>
      <c r="E73" s="524"/>
      <c r="F73" s="525"/>
      <c r="G73" s="525"/>
      <c r="H73" s="525"/>
      <c r="I73" s="526"/>
      <c r="J73" s="452"/>
      <c r="K73" s="453"/>
      <c r="L73" s="453"/>
      <c r="M73" s="453"/>
      <c r="N73" s="453"/>
      <c r="O73" s="453"/>
      <c r="P73" s="453"/>
      <c r="Q73" s="453"/>
      <c r="R73" s="453"/>
      <c r="S73" s="454"/>
      <c r="T73" s="460"/>
      <c r="U73" s="458"/>
      <c r="V73" s="458"/>
      <c r="W73" s="458"/>
      <c r="X73" s="458"/>
      <c r="Y73" s="458"/>
      <c r="Z73" s="458"/>
      <c r="AA73" s="458"/>
      <c r="AB73" s="458"/>
      <c r="AC73" s="459"/>
      <c r="AD73" s="460"/>
      <c r="AE73" s="458"/>
      <c r="AF73" s="458"/>
      <c r="AG73" s="458"/>
      <c r="AH73" s="458"/>
      <c r="AI73" s="458"/>
      <c r="AJ73" s="458"/>
      <c r="AK73" s="458"/>
      <c r="AL73" s="458"/>
      <c r="AM73" s="459"/>
      <c r="AN73" s="463"/>
      <c r="AO73" s="461"/>
      <c r="AP73" s="461"/>
      <c r="AQ73" s="461"/>
      <c r="AR73" s="461"/>
      <c r="AS73" s="461"/>
      <c r="AT73" s="461"/>
      <c r="AU73" s="461"/>
      <c r="AV73" s="461"/>
      <c r="AW73" s="462"/>
      <c r="AX73" s="457"/>
      <c r="AY73" s="455"/>
      <c r="AZ73" s="455"/>
      <c r="BA73" s="455"/>
      <c r="BB73" s="455"/>
      <c r="BC73" s="455"/>
      <c r="BD73" s="455"/>
      <c r="BE73" s="455"/>
      <c r="BF73" s="455"/>
      <c r="BG73" s="456"/>
      <c r="BH73" s="56"/>
      <c r="BI73" s="510"/>
      <c r="BJ73" s="511"/>
      <c r="BK73" s="511"/>
      <c r="BL73" s="511"/>
      <c r="BM73" s="511"/>
      <c r="BN73" s="512"/>
      <c r="BO73" s="56"/>
      <c r="BP73" s="56"/>
      <c r="BQ73" s="56"/>
      <c r="BR73" s="56"/>
      <c r="BS73" s="56"/>
      <c r="BT73" s="56"/>
      <c r="BU73" s="56"/>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row>
    <row r="74" spans="1:100" ht="15" customHeight="1" x14ac:dyDescent="0.35">
      <c r="A74" s="56"/>
      <c r="B74" s="300"/>
      <c r="C74" s="300"/>
      <c r="D74" s="301"/>
      <c r="E74" s="524"/>
      <c r="F74" s="525"/>
      <c r="G74" s="525"/>
      <c r="H74" s="525"/>
      <c r="I74" s="526"/>
      <c r="J74" s="452" t="str">
        <f>IF(AND('Mapa final'!$K$64="Baja",'Mapa final'!$O$64="Leve"),CONCATENATE("R",'Mapa final'!$A$64),"")</f>
        <v>R20</v>
      </c>
      <c r="K74" s="453"/>
      <c r="L74" s="453" t="str">
        <f>IF(AND('Mapa final'!$K$67="Baja",'Mapa final'!$O$67="Leve"),CONCATENATE("R",'Mapa final'!$A$67),"")</f>
        <v/>
      </c>
      <c r="M74" s="453"/>
      <c r="N74" s="453" t="str">
        <f>IF(AND('Mapa final'!$K$73="Baja",'Mapa final'!$O$73="Leve"),CONCATENATE("R",'Mapa final'!$A$73),"")</f>
        <v/>
      </c>
      <c r="O74" s="453"/>
      <c r="P74" s="453" t="str">
        <f>IF(AND('Mapa final'!$K$76="Baja",'Mapa final'!$O$76="Leve"),CONCATENATE("R",'Mapa final'!$A$76),"")</f>
        <v/>
      </c>
      <c r="Q74" s="453"/>
      <c r="R74" s="453" t="str">
        <f>IF(AND('Mapa final'!$K$79="Baja",'Mapa final'!$O$79="Leve"),CONCATENATE("R",'Mapa final'!$A$79),"")</f>
        <v/>
      </c>
      <c r="S74" s="454"/>
      <c r="T74" s="460" t="str">
        <f>IF(AND('Mapa final'!$K$64="Baja",'Mapa final'!$O$64="Menor"),CONCATENATE("R",'Mapa final'!$A$64),"")</f>
        <v/>
      </c>
      <c r="U74" s="458"/>
      <c r="V74" s="458" t="str">
        <f>IF(AND('Mapa final'!$K$67="Baja",'Mapa final'!$O$67="Menor"),CONCATENATE("R",'Mapa final'!$A$67),"")</f>
        <v>R21</v>
      </c>
      <c r="W74" s="458"/>
      <c r="X74" s="458" t="str">
        <f>IF(AND('Mapa final'!$K$73="Baja",'Mapa final'!$O$73="Menor"),CONCATENATE("R",'Mapa final'!$A$73),"")</f>
        <v/>
      </c>
      <c r="Y74" s="458"/>
      <c r="Z74" s="458" t="str">
        <f>IF(AND('Mapa final'!$K$76="Baja",'Mapa final'!$O$76="Menor"),CONCATENATE("R",'Mapa final'!$A$76),"")</f>
        <v/>
      </c>
      <c r="AA74" s="458"/>
      <c r="AB74" s="458" t="str">
        <f>IF(AND('Mapa final'!$K$79="Baja",'Mapa final'!$O$79="Menor"),CONCATENATE("R",'Mapa final'!$A$79),"")</f>
        <v/>
      </c>
      <c r="AC74" s="459"/>
      <c r="AD74" s="460" t="str">
        <f>IF(AND('Mapa final'!$K$64="Baja",'Mapa final'!$O$64="Moderado"),CONCATENATE("R",'Mapa final'!$A$64),"")</f>
        <v/>
      </c>
      <c r="AE74" s="458"/>
      <c r="AF74" s="458" t="str">
        <f>IF(AND('Mapa final'!$K$67="Baja",'Mapa final'!$O$67="Moderado"),CONCATENATE("R",'Mapa final'!$A$67),"")</f>
        <v/>
      </c>
      <c r="AG74" s="458"/>
      <c r="AH74" s="458" t="str">
        <f>IF(AND('Mapa final'!$K$73="Baja",'Mapa final'!$O$73="Moderado"),CONCATENATE("R",'Mapa final'!$A$73),"")</f>
        <v/>
      </c>
      <c r="AI74" s="458"/>
      <c r="AJ74" s="458" t="str">
        <f>IF(AND('Mapa final'!$K$76="Baja",'Mapa final'!$O$76="Moderado"),CONCATENATE("R",'Mapa final'!$A$76),"")</f>
        <v>R24</v>
      </c>
      <c r="AK74" s="458"/>
      <c r="AL74" s="458" t="str">
        <f>IF(AND('Mapa final'!$K$79="Baja",'Mapa final'!$O$79="Moderado"),CONCATENATE("R",'Mapa final'!$A$79),"")</f>
        <v>R25</v>
      </c>
      <c r="AM74" s="459"/>
      <c r="AN74" s="463" t="str">
        <f>IF(AND('Mapa final'!$K$64="Baja",'Mapa final'!$O$64="Mayor"),CONCATENATE("R",'Mapa final'!$A$64),"")</f>
        <v/>
      </c>
      <c r="AO74" s="461"/>
      <c r="AP74" s="461" t="str">
        <f>IF(AND('Mapa final'!$K$67="Baja",'Mapa final'!$O$67="Mayor"),CONCATENATE("R",'Mapa final'!$A$67),"")</f>
        <v/>
      </c>
      <c r="AQ74" s="461"/>
      <c r="AR74" s="461" t="str">
        <f>IF(AND('Mapa final'!$K$73="Baja",'Mapa final'!$O$73="Mayor"),CONCATENATE("R",'Mapa final'!$A$73),"")</f>
        <v/>
      </c>
      <c r="AS74" s="461"/>
      <c r="AT74" s="461" t="str">
        <f>IF(AND('Mapa final'!$K$76="Baja",'Mapa final'!$O$76="Mayor"),CONCATENATE("R",'Mapa final'!$A$76),"")</f>
        <v/>
      </c>
      <c r="AU74" s="461"/>
      <c r="AV74" s="461" t="str">
        <f>IF(AND('Mapa final'!$K$79="Baja",'Mapa final'!$O$79="Mayor"),CONCATENATE("R",'Mapa final'!$A$79),"")</f>
        <v/>
      </c>
      <c r="AW74" s="462"/>
      <c r="AX74" s="457" t="str">
        <f>IF(AND('Mapa final'!$K$64="Baja",'Mapa final'!$O$64="Catastrófico"),CONCATENATE("R",'Mapa final'!$A$64),"")</f>
        <v/>
      </c>
      <c r="AY74" s="455"/>
      <c r="AZ74" s="455" t="str">
        <f>IF(AND('Mapa final'!$K$67="Baja",'Mapa final'!$O$67="Catastrófico"),CONCATENATE("R",'Mapa final'!$A$67),"")</f>
        <v/>
      </c>
      <c r="BA74" s="455"/>
      <c r="BB74" s="455" t="str">
        <f>IF(AND('Mapa final'!$K$73="Baja",'Mapa final'!$O$73="Catastrófico"),CONCATENATE("R",'Mapa final'!$A$73),"")</f>
        <v/>
      </c>
      <c r="BC74" s="455"/>
      <c r="BD74" s="455" t="str">
        <f>IF(AND('Mapa final'!$K$76="Baja",'Mapa final'!$O$76="Catastrófico"),CONCATENATE("R",'Mapa final'!$A$76),"")</f>
        <v/>
      </c>
      <c r="BE74" s="455"/>
      <c r="BF74" s="455" t="str">
        <f>IF(AND('Mapa final'!$K$79="Baja",'Mapa final'!$O$79="Catastrófico"),CONCATENATE("R",'Mapa final'!$A$79),"")</f>
        <v/>
      </c>
      <c r="BG74" s="456"/>
      <c r="BH74" s="56"/>
      <c r="BI74" s="513" t="s">
        <v>76</v>
      </c>
      <c r="BJ74" s="514"/>
      <c r="BK74" s="514"/>
      <c r="BL74" s="514"/>
      <c r="BM74" s="514"/>
      <c r="BN74" s="515"/>
      <c r="BO74" s="56"/>
      <c r="BP74" s="56"/>
      <c r="BQ74" s="56"/>
      <c r="BR74" s="56"/>
      <c r="BS74" s="56"/>
      <c r="BT74" s="56"/>
      <c r="BU74" s="56"/>
      <c r="BV74" s="56"/>
      <c r="BW74" s="56"/>
      <c r="BX74" s="56"/>
      <c r="BY74" s="56"/>
      <c r="BZ74" s="56"/>
      <c r="CA74" s="56"/>
      <c r="CB74" s="56"/>
      <c r="CC74" s="56"/>
      <c r="CD74" s="56"/>
      <c r="CE74" s="56"/>
      <c r="CF74" s="56"/>
      <c r="CG74" s="56"/>
      <c r="CH74" s="56"/>
      <c r="CI74" s="56"/>
      <c r="CJ74" s="56"/>
      <c r="CK74" s="56"/>
      <c r="CL74" s="56"/>
      <c r="CM74" s="56"/>
      <c r="CN74" s="56"/>
      <c r="CO74" s="56"/>
      <c r="CP74" s="56"/>
      <c r="CQ74" s="56"/>
      <c r="CR74" s="56"/>
      <c r="CS74" s="56"/>
      <c r="CT74" s="56"/>
      <c r="CU74" s="56"/>
      <c r="CV74" s="56"/>
    </row>
    <row r="75" spans="1:100" ht="15" customHeight="1" x14ac:dyDescent="0.35">
      <c r="A75" s="56"/>
      <c r="B75" s="300"/>
      <c r="C75" s="300"/>
      <c r="D75" s="301"/>
      <c r="E75" s="524"/>
      <c r="F75" s="525"/>
      <c r="G75" s="525"/>
      <c r="H75" s="525"/>
      <c r="I75" s="526"/>
      <c r="J75" s="452"/>
      <c r="K75" s="453"/>
      <c r="L75" s="453"/>
      <c r="M75" s="453"/>
      <c r="N75" s="453"/>
      <c r="O75" s="453"/>
      <c r="P75" s="453"/>
      <c r="Q75" s="453"/>
      <c r="R75" s="453"/>
      <c r="S75" s="454"/>
      <c r="T75" s="460"/>
      <c r="U75" s="458"/>
      <c r="V75" s="458"/>
      <c r="W75" s="458"/>
      <c r="X75" s="458"/>
      <c r="Y75" s="458"/>
      <c r="Z75" s="458"/>
      <c r="AA75" s="458"/>
      <c r="AB75" s="458"/>
      <c r="AC75" s="459"/>
      <c r="AD75" s="460"/>
      <c r="AE75" s="458"/>
      <c r="AF75" s="458"/>
      <c r="AG75" s="458"/>
      <c r="AH75" s="458"/>
      <c r="AI75" s="458"/>
      <c r="AJ75" s="458"/>
      <c r="AK75" s="458"/>
      <c r="AL75" s="458"/>
      <c r="AM75" s="459"/>
      <c r="AN75" s="463"/>
      <c r="AO75" s="461"/>
      <c r="AP75" s="461"/>
      <c r="AQ75" s="461"/>
      <c r="AR75" s="461"/>
      <c r="AS75" s="461"/>
      <c r="AT75" s="461"/>
      <c r="AU75" s="461"/>
      <c r="AV75" s="461"/>
      <c r="AW75" s="462"/>
      <c r="AX75" s="457"/>
      <c r="AY75" s="455"/>
      <c r="AZ75" s="455"/>
      <c r="BA75" s="455"/>
      <c r="BB75" s="455"/>
      <c r="BC75" s="455"/>
      <c r="BD75" s="455"/>
      <c r="BE75" s="455"/>
      <c r="BF75" s="455"/>
      <c r="BG75" s="456"/>
      <c r="BH75" s="56"/>
      <c r="BI75" s="516"/>
      <c r="BJ75" s="517"/>
      <c r="BK75" s="517"/>
      <c r="BL75" s="517"/>
      <c r="BM75" s="517"/>
      <c r="BN75" s="518"/>
      <c r="BO75" s="56"/>
      <c r="BP75" s="56"/>
      <c r="BQ75" s="56"/>
      <c r="BR75" s="56"/>
      <c r="BS75" s="56"/>
      <c r="BT75" s="56"/>
      <c r="BU75" s="56"/>
      <c r="BV75" s="56"/>
      <c r="BW75" s="56"/>
      <c r="BX75" s="56"/>
      <c r="BY75" s="56"/>
      <c r="BZ75" s="56"/>
      <c r="CA75" s="56"/>
      <c r="CB75" s="56"/>
      <c r="CC75" s="56"/>
      <c r="CD75" s="56"/>
      <c r="CE75" s="56"/>
      <c r="CF75" s="56"/>
      <c r="CG75" s="56"/>
      <c r="CH75" s="56"/>
      <c r="CI75" s="56"/>
      <c r="CJ75" s="56"/>
      <c r="CK75" s="56"/>
      <c r="CL75" s="56"/>
      <c r="CM75" s="56"/>
      <c r="CN75" s="56"/>
      <c r="CO75" s="56"/>
      <c r="CP75" s="56"/>
      <c r="CQ75" s="56"/>
      <c r="CR75" s="56"/>
      <c r="CS75" s="56"/>
      <c r="CT75" s="56"/>
      <c r="CU75" s="56"/>
      <c r="CV75" s="56"/>
    </row>
    <row r="76" spans="1:100" ht="15" customHeight="1" x14ac:dyDescent="0.35">
      <c r="A76" s="56"/>
      <c r="B76" s="300"/>
      <c r="C76" s="300"/>
      <c r="D76" s="301"/>
      <c r="E76" s="524"/>
      <c r="F76" s="525"/>
      <c r="G76" s="525"/>
      <c r="H76" s="525"/>
      <c r="I76" s="526"/>
      <c r="J76" s="452" t="str">
        <f>IF(AND('Mapa final'!$K$82="Baja",'Mapa final'!$O$82="Leve"),CONCATENATE("R",'Mapa final'!$A$82),"")</f>
        <v/>
      </c>
      <c r="K76" s="453"/>
      <c r="L76" s="453" t="str">
        <f>IF(AND('Mapa final'!$K$85="Baja",'Mapa final'!$O$85="Leve"),CONCATENATE("R",'Mapa final'!$A$85),"")</f>
        <v/>
      </c>
      <c r="M76" s="453"/>
      <c r="N76" s="453" t="str">
        <f>IF(AND('Mapa final'!$K$88="Baja",'Mapa final'!$O$88="Leve"),CONCATENATE("R",'Mapa final'!$A$88),"")</f>
        <v/>
      </c>
      <c r="O76" s="453"/>
      <c r="P76" s="453" t="str">
        <f>IF(AND('Mapa final'!$K$91="Baja",'Mapa final'!$O$91="Leve"),CONCATENATE("R",'Mapa final'!$A$91),"")</f>
        <v/>
      </c>
      <c r="Q76" s="453"/>
      <c r="R76" s="453" t="str">
        <f>IF(AND('Mapa final'!$K$94="Baja",'Mapa final'!$O$94="Leve"),CONCATENATE("R",'Mapa final'!$A$94),"")</f>
        <v/>
      </c>
      <c r="S76" s="454"/>
      <c r="T76" s="460" t="str">
        <f>IF(AND('Mapa final'!$K$82="Baja",'Mapa final'!$O$82="Menor"),CONCATENATE("R",'Mapa final'!$A$82),"")</f>
        <v/>
      </c>
      <c r="U76" s="458"/>
      <c r="V76" s="458" t="str">
        <f>IF(AND('Mapa final'!$K$85="Baja",'Mapa final'!$O$85="Menor"),CONCATENATE("R",'Mapa final'!$A$85),"")</f>
        <v/>
      </c>
      <c r="W76" s="458"/>
      <c r="X76" s="458" t="str">
        <f>IF(AND('Mapa final'!$K$88="Baja",'Mapa final'!$O$88="Menor"),CONCATENATE("R",'Mapa final'!$A$88),"")</f>
        <v/>
      </c>
      <c r="Y76" s="458"/>
      <c r="Z76" s="458" t="str">
        <f>IF(AND('Mapa final'!$K$91="Baja",'Mapa final'!$O$91="Menor"),CONCATENATE("R",'Mapa final'!$A$91),"")</f>
        <v/>
      </c>
      <c r="AA76" s="458"/>
      <c r="AB76" s="458" t="str">
        <f>IF(AND('Mapa final'!$K$94="Baja",'Mapa final'!$O$94="Menor"),CONCATENATE("R",'Mapa final'!$A$94),"")</f>
        <v/>
      </c>
      <c r="AC76" s="459"/>
      <c r="AD76" s="460" t="str">
        <f>IF(AND('Mapa final'!$K$82="Baja",'Mapa final'!$O$82="Moderado"),CONCATENATE("R",'Mapa final'!$A$82),"")</f>
        <v/>
      </c>
      <c r="AE76" s="458"/>
      <c r="AF76" s="458" t="str">
        <f>IF(AND('Mapa final'!$K$85="Baja",'Mapa final'!$O$85="Moderado"),CONCATENATE("R",'Mapa final'!$A$85),"")</f>
        <v>R27</v>
      </c>
      <c r="AG76" s="458"/>
      <c r="AH76" s="458" t="str">
        <f>IF(AND('Mapa final'!$K$88="Baja",'Mapa final'!$O$88="Moderado"),CONCATENATE("R",'Mapa final'!$A$88),"")</f>
        <v/>
      </c>
      <c r="AI76" s="458"/>
      <c r="AJ76" s="458" t="str">
        <f>IF(AND('Mapa final'!$K$91="Baja",'Mapa final'!$O$91="Moderado"),CONCATENATE("R",'Mapa final'!$A$91),"")</f>
        <v/>
      </c>
      <c r="AK76" s="458"/>
      <c r="AL76" s="458" t="str">
        <f>IF(AND('Mapa final'!$K$94="Baja",'Mapa final'!$O$94="Moderado"),CONCATENATE("R",'Mapa final'!$A$94),"")</f>
        <v/>
      </c>
      <c r="AM76" s="459"/>
      <c r="AN76" s="463" t="str">
        <f>IF(AND('Mapa final'!$K$82="Baja",'Mapa final'!$O$82="Mayor"),CONCATENATE("R",'Mapa final'!$A$82),"")</f>
        <v/>
      </c>
      <c r="AO76" s="461"/>
      <c r="AP76" s="461" t="str">
        <f>IF(AND('Mapa final'!$K$85="Baja",'Mapa final'!$O$85="Mayor"),CONCATENATE("R",'Mapa final'!$A$85),"")</f>
        <v/>
      </c>
      <c r="AQ76" s="461"/>
      <c r="AR76" s="461" t="str">
        <f>IF(AND('Mapa final'!$K$88="Baja",'Mapa final'!$O$88="Mayor"),CONCATENATE("R",'Mapa final'!$A$88),"")</f>
        <v/>
      </c>
      <c r="AS76" s="461"/>
      <c r="AT76" s="461" t="str">
        <f>IF(AND('Mapa final'!$K$91="Baja",'Mapa final'!$O$91="Mayor"),CONCATENATE("R",'Mapa final'!$A$91),"")</f>
        <v/>
      </c>
      <c r="AU76" s="461"/>
      <c r="AV76" s="461" t="str">
        <f>IF(AND('Mapa final'!$K$94="Baja",'Mapa final'!$O$94="Mayor"),CONCATENATE("R",'Mapa final'!$A$94),"")</f>
        <v/>
      </c>
      <c r="AW76" s="462"/>
      <c r="AX76" s="457" t="str">
        <f>IF(AND('Mapa final'!$K$82="Baja",'Mapa final'!$O$82="Catastrófico"),CONCATENATE("R",'Mapa final'!$A$82),"")</f>
        <v/>
      </c>
      <c r="AY76" s="455"/>
      <c r="AZ76" s="455" t="str">
        <f>IF(AND('Mapa final'!$K$85="Baja",'Mapa final'!$O$85="Catastrófico"),CONCATENATE("R",'Mapa final'!$A$85),"")</f>
        <v/>
      </c>
      <c r="BA76" s="455"/>
      <c r="BB76" s="455" t="str">
        <f>IF(AND('Mapa final'!$K$88="Baja",'Mapa final'!$O$88="Catastrófico"),CONCATENATE("R",'Mapa final'!$A$88),"")</f>
        <v/>
      </c>
      <c r="BC76" s="455"/>
      <c r="BD76" s="455" t="str">
        <f>IF(AND('Mapa final'!$K$91="Baja",'Mapa final'!$O$91="Catastrófico"),CONCATENATE("R",'Mapa final'!$A$91),"")</f>
        <v/>
      </c>
      <c r="BE76" s="455"/>
      <c r="BF76" s="455" t="str">
        <f>IF(AND('Mapa final'!$K$94="Baja",'Mapa final'!$O$94="Catastrófico"),CONCATENATE("R",'Mapa final'!$A$94),"")</f>
        <v/>
      </c>
      <c r="BG76" s="456"/>
      <c r="BH76" s="56"/>
      <c r="BI76" s="516"/>
      <c r="BJ76" s="517"/>
      <c r="BK76" s="517"/>
      <c r="BL76" s="517"/>
      <c r="BM76" s="517"/>
      <c r="BN76" s="518"/>
      <c r="BO76" s="56"/>
      <c r="BP76" s="56"/>
      <c r="BQ76" s="56"/>
      <c r="BR76" s="56"/>
      <c r="BS76" s="56"/>
      <c r="BT76" s="56"/>
      <c r="BU76" s="56"/>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6"/>
      <c r="CT76" s="56"/>
      <c r="CU76" s="56"/>
      <c r="CV76" s="56"/>
    </row>
    <row r="77" spans="1:100" ht="15" customHeight="1" x14ac:dyDescent="0.35">
      <c r="A77" s="56"/>
      <c r="B77" s="300"/>
      <c r="C77" s="300"/>
      <c r="D77" s="301"/>
      <c r="E77" s="524"/>
      <c r="F77" s="525"/>
      <c r="G77" s="525"/>
      <c r="H77" s="525"/>
      <c r="I77" s="526"/>
      <c r="J77" s="452"/>
      <c r="K77" s="453"/>
      <c r="L77" s="453"/>
      <c r="M77" s="453"/>
      <c r="N77" s="453"/>
      <c r="O77" s="453"/>
      <c r="P77" s="453"/>
      <c r="Q77" s="453"/>
      <c r="R77" s="453"/>
      <c r="S77" s="454"/>
      <c r="T77" s="460"/>
      <c r="U77" s="458"/>
      <c r="V77" s="458"/>
      <c r="W77" s="458"/>
      <c r="X77" s="458"/>
      <c r="Y77" s="458"/>
      <c r="Z77" s="458"/>
      <c r="AA77" s="458"/>
      <c r="AB77" s="458"/>
      <c r="AC77" s="459"/>
      <c r="AD77" s="460"/>
      <c r="AE77" s="458"/>
      <c r="AF77" s="458"/>
      <c r="AG77" s="458"/>
      <c r="AH77" s="458"/>
      <c r="AI77" s="458"/>
      <c r="AJ77" s="458"/>
      <c r="AK77" s="458"/>
      <c r="AL77" s="458"/>
      <c r="AM77" s="459"/>
      <c r="AN77" s="463"/>
      <c r="AO77" s="461"/>
      <c r="AP77" s="461"/>
      <c r="AQ77" s="461"/>
      <c r="AR77" s="461"/>
      <c r="AS77" s="461"/>
      <c r="AT77" s="461"/>
      <c r="AU77" s="461"/>
      <c r="AV77" s="461"/>
      <c r="AW77" s="462"/>
      <c r="AX77" s="457"/>
      <c r="AY77" s="455"/>
      <c r="AZ77" s="455"/>
      <c r="BA77" s="455"/>
      <c r="BB77" s="455"/>
      <c r="BC77" s="455"/>
      <c r="BD77" s="455"/>
      <c r="BE77" s="455"/>
      <c r="BF77" s="455"/>
      <c r="BG77" s="456"/>
      <c r="BH77" s="56"/>
      <c r="BI77" s="516"/>
      <c r="BJ77" s="517"/>
      <c r="BK77" s="517"/>
      <c r="BL77" s="517"/>
      <c r="BM77" s="517"/>
      <c r="BN77" s="518"/>
      <c r="BO77" s="56"/>
      <c r="BP77" s="56"/>
      <c r="BQ77" s="56"/>
      <c r="BR77" s="56"/>
      <c r="BS77" s="56"/>
      <c r="BT77" s="56"/>
      <c r="BU77" s="56"/>
      <c r="BV77" s="56"/>
      <c r="BW77" s="56"/>
      <c r="BX77" s="56"/>
      <c r="BY77" s="56"/>
      <c r="BZ77" s="56"/>
      <c r="CA77" s="56"/>
      <c r="CB77" s="56"/>
      <c r="CC77" s="56"/>
      <c r="CD77" s="56"/>
      <c r="CE77" s="56"/>
      <c r="CF77" s="56"/>
      <c r="CG77" s="56"/>
      <c r="CH77" s="56"/>
      <c r="CI77" s="56"/>
      <c r="CJ77" s="56"/>
      <c r="CK77" s="56"/>
      <c r="CL77" s="56"/>
      <c r="CM77" s="56"/>
      <c r="CN77" s="56"/>
      <c r="CO77" s="56"/>
      <c r="CP77" s="56"/>
      <c r="CQ77" s="56"/>
      <c r="CR77" s="56"/>
      <c r="CS77" s="56"/>
      <c r="CT77" s="56"/>
      <c r="CU77" s="56"/>
      <c r="CV77" s="56"/>
    </row>
    <row r="78" spans="1:100" ht="15" customHeight="1" x14ac:dyDescent="0.35">
      <c r="A78" s="56"/>
      <c r="B78" s="300"/>
      <c r="C78" s="300"/>
      <c r="D78" s="301"/>
      <c r="E78" s="524"/>
      <c r="F78" s="525"/>
      <c r="G78" s="525"/>
      <c r="H78" s="525"/>
      <c r="I78" s="526"/>
      <c r="J78" s="452" t="str">
        <f>IF(AND('Mapa final'!$K$97="Baja",'Mapa final'!$O$97="Leve"),CONCATENATE("R",'Mapa final'!$A$97),"")</f>
        <v/>
      </c>
      <c r="K78" s="453"/>
      <c r="L78" s="453" t="e">
        <f>IF(AND('Mapa final'!#REF!="Baja",'Mapa final'!#REF!="Leve"),CONCATENATE("R",'Mapa final'!#REF!),"")</f>
        <v>#REF!</v>
      </c>
      <c r="M78" s="453"/>
      <c r="N78" s="453" t="str">
        <f>IF(AND('Mapa final'!$K$100="Baja",'Mapa final'!$O$100="Leve"),CONCATENATE("R",'Mapa final'!$A$100),"")</f>
        <v/>
      </c>
      <c r="O78" s="453"/>
      <c r="P78" s="453" t="str">
        <f>IF(AND('Mapa final'!$K$103="Baja",'Mapa final'!$O$103="Leve"),CONCATENATE("R",'Mapa final'!$A$103),"")</f>
        <v/>
      </c>
      <c r="Q78" s="453"/>
      <c r="R78" s="453" t="str">
        <f>IF(AND('Mapa final'!$K$106="Baja",'Mapa final'!$O$106="Leve"),CONCATENATE("R",'Mapa final'!$A$106),"")</f>
        <v/>
      </c>
      <c r="S78" s="454"/>
      <c r="T78" s="460" t="str">
        <f>IF(AND('Mapa final'!$K$97="Baja",'Mapa final'!$O$97="Menor"),CONCATENATE("R",'Mapa final'!$A$97),"")</f>
        <v/>
      </c>
      <c r="U78" s="458"/>
      <c r="V78" s="458" t="e">
        <f>IF(AND('Mapa final'!#REF!="Baja",'Mapa final'!#REF!="Menor"),CONCATENATE("R",'Mapa final'!#REF!),"")</f>
        <v>#REF!</v>
      </c>
      <c r="W78" s="458"/>
      <c r="X78" s="458" t="str">
        <f>IF(AND('Mapa final'!$K$100="Baja",'Mapa final'!$O$100="Menor"),CONCATENATE("R",'Mapa final'!$A$100),"")</f>
        <v/>
      </c>
      <c r="Y78" s="458"/>
      <c r="Z78" s="458" t="str">
        <f>IF(AND('Mapa final'!$K$103="Baja",'Mapa final'!$O$103="Menor"),CONCATENATE("R",'Mapa final'!$A$103),"")</f>
        <v/>
      </c>
      <c r="AA78" s="458"/>
      <c r="AB78" s="458" t="str">
        <f>IF(AND('Mapa final'!$K$106="Baja",'Mapa final'!$O$106="Menor"),CONCATENATE("R",'Mapa final'!$A$106),"")</f>
        <v/>
      </c>
      <c r="AC78" s="459"/>
      <c r="AD78" s="460" t="str">
        <f>IF(AND('Mapa final'!$K$97="Baja",'Mapa final'!$O$97="Moderado"),CONCATENATE("R",'Mapa final'!$A$97),"")</f>
        <v>R31</v>
      </c>
      <c r="AE78" s="458"/>
      <c r="AF78" s="458" t="e">
        <f>IF(AND('Mapa final'!#REF!="Baja",'Mapa final'!#REF!="Moderado"),CONCATENATE("R",'Mapa final'!#REF!),"")</f>
        <v>#REF!</v>
      </c>
      <c r="AG78" s="458"/>
      <c r="AH78" s="458" t="str">
        <f>IF(AND('Mapa final'!$K$100="Baja",'Mapa final'!$O$100="Moderado"),CONCATENATE("R",'Mapa final'!$A$100),"")</f>
        <v/>
      </c>
      <c r="AI78" s="458"/>
      <c r="AJ78" s="458" t="str">
        <f>IF(AND('Mapa final'!$K$103="Baja",'Mapa final'!$O$103="Moderado"),CONCATENATE("R",'Mapa final'!$A$103),"")</f>
        <v/>
      </c>
      <c r="AK78" s="458"/>
      <c r="AL78" s="458" t="str">
        <f>IF(AND('Mapa final'!$K$106="Baja",'Mapa final'!$O$106="Moderado"),CONCATENATE("R",'Mapa final'!$A$106),"")</f>
        <v/>
      </c>
      <c r="AM78" s="459"/>
      <c r="AN78" s="463" t="str">
        <f>IF(AND('Mapa final'!$K$97="Baja",'Mapa final'!$O$97="Mayor"),CONCATENATE("R",'Mapa final'!$A$97),"")</f>
        <v/>
      </c>
      <c r="AO78" s="461"/>
      <c r="AP78" s="461" t="e">
        <f>IF(AND('Mapa final'!#REF!="Baja",'Mapa final'!#REF!="Mayor"),CONCATENATE("R",'Mapa final'!#REF!),"")</f>
        <v>#REF!</v>
      </c>
      <c r="AQ78" s="461"/>
      <c r="AR78" s="461" t="str">
        <f>IF(AND('Mapa final'!$K$100="Baja",'Mapa final'!$O$100="Mayor"),CONCATENATE("R",'Mapa final'!$A$100),"")</f>
        <v/>
      </c>
      <c r="AS78" s="461"/>
      <c r="AT78" s="461" t="str">
        <f>IF(AND('Mapa final'!$K$103="Baja",'Mapa final'!$O$103="Mayor"),CONCATENATE("R",'Mapa final'!$A$103),"")</f>
        <v/>
      </c>
      <c r="AU78" s="461"/>
      <c r="AV78" s="461" t="str">
        <f>IF(AND('Mapa final'!$K$106="Baja",'Mapa final'!$O$106="Mayor"),CONCATENATE("R",'Mapa final'!$A$106),"")</f>
        <v/>
      </c>
      <c r="AW78" s="462"/>
      <c r="AX78" s="457" t="str">
        <f>IF(AND('Mapa final'!$K$97="Baja",'Mapa final'!$O$97="Catastrófico"),CONCATENATE("R",'Mapa final'!$A$97),"")</f>
        <v/>
      </c>
      <c r="AY78" s="455"/>
      <c r="AZ78" s="455" t="e">
        <f>IF(AND('Mapa final'!#REF!="Baja",'Mapa final'!#REF!="Catastrófico"),CONCATENATE("R",'Mapa final'!#REF!),"")</f>
        <v>#REF!</v>
      </c>
      <c r="BA78" s="455"/>
      <c r="BB78" s="455" t="str">
        <f>IF(AND('Mapa final'!$K$100="Baja",'Mapa final'!$O$100="Catastrófico"),CONCATENATE("R",'Mapa final'!$A$100),"")</f>
        <v/>
      </c>
      <c r="BC78" s="455"/>
      <c r="BD78" s="455" t="str">
        <f>IF(AND('Mapa final'!$K$103="Baja",'Mapa final'!$O$103="Catastrófico"),CONCATENATE("R",'Mapa final'!$A$103),"")</f>
        <v/>
      </c>
      <c r="BE78" s="455"/>
      <c r="BF78" s="455" t="str">
        <f>IF(AND('Mapa final'!$K$106="Baja",'Mapa final'!$O$106="Catastrófico"),CONCATENATE("R",'Mapa final'!$A$106),"")</f>
        <v/>
      </c>
      <c r="BG78" s="456"/>
      <c r="BH78" s="56"/>
      <c r="BI78" s="516"/>
      <c r="BJ78" s="517"/>
      <c r="BK78" s="517"/>
      <c r="BL78" s="517"/>
      <c r="BM78" s="517"/>
      <c r="BN78" s="518"/>
      <c r="BO78" s="56"/>
      <c r="BP78" s="56"/>
      <c r="BQ78" s="56"/>
      <c r="BR78" s="56"/>
      <c r="BS78" s="56"/>
      <c r="BT78" s="56"/>
      <c r="BU78" s="56"/>
      <c r="BV78" s="56"/>
      <c r="BW78" s="56"/>
      <c r="BX78" s="56"/>
      <c r="BY78" s="56"/>
      <c r="BZ78" s="56"/>
      <c r="CA78" s="56"/>
      <c r="CB78" s="56"/>
      <c r="CC78" s="56"/>
      <c r="CD78" s="56"/>
      <c r="CE78" s="56"/>
      <c r="CF78" s="56"/>
      <c r="CG78" s="56"/>
      <c r="CH78" s="56"/>
      <c r="CI78" s="56"/>
      <c r="CJ78" s="56"/>
      <c r="CK78" s="56"/>
      <c r="CL78" s="56"/>
      <c r="CM78" s="56"/>
      <c r="CN78" s="56"/>
      <c r="CO78" s="56"/>
      <c r="CP78" s="56"/>
      <c r="CQ78" s="56"/>
      <c r="CR78" s="56"/>
      <c r="CS78" s="56"/>
      <c r="CT78" s="56"/>
      <c r="CU78" s="56"/>
      <c r="CV78" s="56"/>
    </row>
    <row r="79" spans="1:100" ht="15" customHeight="1" x14ac:dyDescent="0.35">
      <c r="A79" s="56"/>
      <c r="B79" s="300"/>
      <c r="C79" s="300"/>
      <c r="D79" s="301"/>
      <c r="E79" s="524"/>
      <c r="F79" s="525"/>
      <c r="G79" s="525"/>
      <c r="H79" s="525"/>
      <c r="I79" s="526"/>
      <c r="J79" s="452"/>
      <c r="K79" s="453"/>
      <c r="L79" s="453"/>
      <c r="M79" s="453"/>
      <c r="N79" s="453"/>
      <c r="O79" s="453"/>
      <c r="P79" s="453"/>
      <c r="Q79" s="453"/>
      <c r="R79" s="453"/>
      <c r="S79" s="454"/>
      <c r="T79" s="460"/>
      <c r="U79" s="458"/>
      <c r="V79" s="458"/>
      <c r="W79" s="458"/>
      <c r="X79" s="458"/>
      <c r="Y79" s="458"/>
      <c r="Z79" s="458"/>
      <c r="AA79" s="458"/>
      <c r="AB79" s="458"/>
      <c r="AC79" s="459"/>
      <c r="AD79" s="460"/>
      <c r="AE79" s="458"/>
      <c r="AF79" s="458"/>
      <c r="AG79" s="458"/>
      <c r="AH79" s="458"/>
      <c r="AI79" s="458"/>
      <c r="AJ79" s="458"/>
      <c r="AK79" s="458"/>
      <c r="AL79" s="458"/>
      <c r="AM79" s="459"/>
      <c r="AN79" s="463"/>
      <c r="AO79" s="461"/>
      <c r="AP79" s="461"/>
      <c r="AQ79" s="461"/>
      <c r="AR79" s="461"/>
      <c r="AS79" s="461"/>
      <c r="AT79" s="461"/>
      <c r="AU79" s="461"/>
      <c r="AV79" s="461"/>
      <c r="AW79" s="462"/>
      <c r="AX79" s="457"/>
      <c r="AY79" s="455"/>
      <c r="AZ79" s="455"/>
      <c r="BA79" s="455"/>
      <c r="BB79" s="455"/>
      <c r="BC79" s="455"/>
      <c r="BD79" s="455"/>
      <c r="BE79" s="455"/>
      <c r="BF79" s="455"/>
      <c r="BG79" s="456"/>
      <c r="BH79" s="56"/>
      <c r="BI79" s="516"/>
      <c r="BJ79" s="517"/>
      <c r="BK79" s="517"/>
      <c r="BL79" s="517"/>
      <c r="BM79" s="517"/>
      <c r="BN79" s="518"/>
      <c r="BO79" s="56"/>
      <c r="BP79" s="56"/>
      <c r="BQ79" s="56"/>
      <c r="BR79" s="56"/>
      <c r="BS79" s="56"/>
      <c r="BT79" s="56"/>
      <c r="BU79" s="56"/>
      <c r="BV79" s="56"/>
      <c r="BW79" s="56"/>
      <c r="BX79" s="56"/>
      <c r="BY79" s="56"/>
      <c r="BZ79" s="56"/>
      <c r="CA79" s="56"/>
      <c r="CB79" s="56"/>
      <c r="CC79" s="56"/>
      <c r="CD79" s="56"/>
      <c r="CE79" s="56"/>
      <c r="CF79" s="56"/>
      <c r="CG79" s="56"/>
      <c r="CH79" s="56"/>
      <c r="CI79" s="56"/>
      <c r="CJ79" s="56"/>
      <c r="CK79" s="56"/>
      <c r="CL79" s="56"/>
      <c r="CM79" s="56"/>
      <c r="CN79" s="56"/>
      <c r="CO79" s="56"/>
      <c r="CP79" s="56"/>
      <c r="CQ79" s="56"/>
      <c r="CR79" s="56"/>
      <c r="CS79" s="56"/>
      <c r="CT79" s="56"/>
      <c r="CU79" s="56"/>
      <c r="CV79" s="56"/>
    </row>
    <row r="80" spans="1:100" ht="15" customHeight="1" x14ac:dyDescent="0.35">
      <c r="A80" s="56"/>
      <c r="B80" s="300"/>
      <c r="C80" s="300"/>
      <c r="D80" s="301"/>
      <c r="E80" s="524"/>
      <c r="F80" s="525"/>
      <c r="G80" s="525"/>
      <c r="H80" s="525"/>
      <c r="I80" s="526"/>
      <c r="J80" s="452" t="str">
        <f>IF(AND('Mapa final'!$K$109="Baja",'Mapa final'!$O$109="Leve"),CONCATENATE("R",'Mapa final'!$A$109),"")</f>
        <v/>
      </c>
      <c r="K80" s="453"/>
      <c r="L80" s="453" t="str">
        <f>IF(AND('Mapa final'!$K$112="Baja",'Mapa final'!$O$112="Leve"),CONCATENATE("R",'Mapa final'!$A$112),"")</f>
        <v/>
      </c>
      <c r="M80" s="453"/>
      <c r="N80" s="453" t="str">
        <f>IF(AND('Mapa final'!$K$115="Baja",'Mapa final'!$O$115="Leve"),CONCATENATE("R",'Mapa final'!$A$115),"")</f>
        <v/>
      </c>
      <c r="O80" s="453"/>
      <c r="P80" s="453" t="str">
        <f>IF(AND('Mapa final'!$K$118="Baja",'Mapa final'!$O$118="Leve"),CONCATENATE("R",'Mapa final'!$A$118),"")</f>
        <v/>
      </c>
      <c r="Q80" s="453"/>
      <c r="R80" s="453" t="str">
        <f>IF(AND('Mapa final'!$K$121="Baja",'Mapa final'!$O$121="Leve"),CONCATENATE("R",'Mapa final'!$A$121),"")</f>
        <v/>
      </c>
      <c r="S80" s="454"/>
      <c r="T80" s="460" t="str">
        <f>IF(AND('Mapa final'!$K$109="Baja",'Mapa final'!$O$109="Menor"),CONCATENATE("R",'Mapa final'!$A$109),"")</f>
        <v/>
      </c>
      <c r="U80" s="458"/>
      <c r="V80" s="458" t="str">
        <f>IF(AND('Mapa final'!$K$112="Baja",'Mapa final'!$O$112="Menor"),CONCATENATE("R",'Mapa final'!$A$112),"")</f>
        <v/>
      </c>
      <c r="W80" s="458"/>
      <c r="X80" s="458" t="str">
        <f>IF(AND('Mapa final'!$K$115="Baja",'Mapa final'!$O$115="Menor"),CONCATENATE("R",'Mapa final'!$A$115),"")</f>
        <v>R37</v>
      </c>
      <c r="Y80" s="458"/>
      <c r="Z80" s="458" t="str">
        <f>IF(AND('Mapa final'!$K$118="Baja",'Mapa final'!$O$118="Menor"),CONCATENATE("R",'Mapa final'!$A$118),"")</f>
        <v/>
      </c>
      <c r="AA80" s="458"/>
      <c r="AB80" s="458" t="str">
        <f>IF(AND('Mapa final'!$K$121="Baja",'Mapa final'!$O$121="Menor"),CONCATENATE("R",'Mapa final'!$A$121),"")</f>
        <v/>
      </c>
      <c r="AC80" s="459"/>
      <c r="AD80" s="460" t="str">
        <f>IF(AND('Mapa final'!$K$109="Baja",'Mapa final'!$O$109="Moderado"),CONCATENATE("R",'Mapa final'!$A$109),"")</f>
        <v/>
      </c>
      <c r="AE80" s="458"/>
      <c r="AF80" s="458" t="str">
        <f>IF(AND('Mapa final'!$K$112="Baja",'Mapa final'!$O$112="Moderado"),CONCATENATE("R",'Mapa final'!$A$112),"")</f>
        <v/>
      </c>
      <c r="AG80" s="458"/>
      <c r="AH80" s="458" t="str">
        <f>IF(AND('Mapa final'!$K$115="Baja",'Mapa final'!$O$115="Moderado"),CONCATENATE("R",'Mapa final'!$A$115),"")</f>
        <v/>
      </c>
      <c r="AI80" s="458"/>
      <c r="AJ80" s="458" t="str">
        <f>IF(AND('Mapa final'!$K$118="Baja",'Mapa final'!$O$118="Moderado"),CONCATENATE("R",'Mapa final'!$A$118),"")</f>
        <v/>
      </c>
      <c r="AK80" s="458"/>
      <c r="AL80" s="458" t="str">
        <f>IF(AND('Mapa final'!$K$121="Baja",'Mapa final'!$O$121="Moderado"),CONCATENATE("R",'Mapa final'!$A$121),"")</f>
        <v/>
      </c>
      <c r="AM80" s="459"/>
      <c r="AN80" s="463" t="str">
        <f>IF(AND('Mapa final'!$K$109="Baja",'Mapa final'!$O$109="Mayor"),CONCATENATE("R",'Mapa final'!$A$109),"")</f>
        <v/>
      </c>
      <c r="AO80" s="461"/>
      <c r="AP80" s="461" t="str">
        <f>IF(AND('Mapa final'!$K$112="Baja",'Mapa final'!$O$112="Mayor"),CONCATENATE("R",'Mapa final'!$A$112),"")</f>
        <v/>
      </c>
      <c r="AQ80" s="461"/>
      <c r="AR80" s="461" t="str">
        <f>IF(AND('Mapa final'!$K$115="Baja",'Mapa final'!$O$115="Mayor"),CONCATENATE("R",'Mapa final'!$A$115),"")</f>
        <v/>
      </c>
      <c r="AS80" s="461"/>
      <c r="AT80" s="461" t="str">
        <f>IF(AND('Mapa final'!$K$118="Baja",'Mapa final'!$O$118="Mayor"),CONCATENATE("R",'Mapa final'!$A$118),"")</f>
        <v/>
      </c>
      <c r="AU80" s="461"/>
      <c r="AV80" s="461" t="str">
        <f>IF(AND('Mapa final'!$K$121="Baja",'Mapa final'!$O$121="Mayor"),CONCATENATE("R",'Mapa final'!$A$121),"")</f>
        <v/>
      </c>
      <c r="AW80" s="462"/>
      <c r="AX80" s="457" t="str">
        <f>IF(AND('Mapa final'!$K$109="Baja",'Mapa final'!$O$109="Catastrófico"),CONCATENATE("R",'Mapa final'!$A$109),"")</f>
        <v/>
      </c>
      <c r="AY80" s="455"/>
      <c r="AZ80" s="455" t="str">
        <f>IF(AND('Mapa final'!$K$112="Baja",'Mapa final'!$O$112="Catastrófico"),CONCATENATE("R",'Mapa final'!$A$112),"")</f>
        <v/>
      </c>
      <c r="BA80" s="455"/>
      <c r="BB80" s="455" t="str">
        <f>IF(AND('Mapa final'!$K$115="Baja",'Mapa final'!$O$115="Catastrófico"),CONCATENATE("R",'Mapa final'!$A$115),"")</f>
        <v/>
      </c>
      <c r="BC80" s="455"/>
      <c r="BD80" s="455" t="str">
        <f>IF(AND('Mapa final'!$K$118="Baja",'Mapa final'!$O$118="Catastrófico"),CONCATENATE("R",'Mapa final'!$A$118),"")</f>
        <v/>
      </c>
      <c r="BE80" s="455"/>
      <c r="BF80" s="455" t="str">
        <f>IF(AND('Mapa final'!$K$121="Baja",'Mapa final'!$O$121="Catastrófico"),CONCATENATE("R",'Mapa final'!$A$121),"")</f>
        <v/>
      </c>
      <c r="BG80" s="456"/>
      <c r="BH80" s="56"/>
      <c r="BI80" s="516"/>
      <c r="BJ80" s="517"/>
      <c r="BK80" s="517"/>
      <c r="BL80" s="517"/>
      <c r="BM80" s="517"/>
      <c r="BN80" s="518"/>
      <c r="BO80" s="56"/>
      <c r="BP80" s="56"/>
      <c r="BQ80" s="56"/>
      <c r="BR80" s="56"/>
      <c r="BS80" s="56"/>
      <c r="BT80" s="56"/>
      <c r="BU80" s="56"/>
      <c r="BV80" s="56"/>
      <c r="BW80" s="56"/>
      <c r="BX80" s="56"/>
      <c r="BY80" s="56"/>
      <c r="BZ80" s="56"/>
      <c r="CA80" s="56"/>
      <c r="CB80" s="56"/>
      <c r="CC80" s="56"/>
      <c r="CD80" s="56"/>
      <c r="CE80" s="56"/>
      <c r="CF80" s="56"/>
      <c r="CG80" s="56"/>
      <c r="CH80" s="56"/>
      <c r="CI80" s="56"/>
      <c r="CJ80" s="56"/>
      <c r="CK80" s="56"/>
      <c r="CL80" s="56"/>
      <c r="CM80" s="56"/>
      <c r="CN80" s="56"/>
      <c r="CO80" s="56"/>
      <c r="CP80" s="56"/>
      <c r="CQ80" s="56"/>
      <c r="CR80" s="56"/>
      <c r="CS80" s="56"/>
      <c r="CT80" s="56"/>
      <c r="CU80" s="56"/>
      <c r="CV80" s="56"/>
    </row>
    <row r="81" spans="1:100" ht="15" customHeight="1" x14ac:dyDescent="0.35">
      <c r="A81" s="56"/>
      <c r="B81" s="300"/>
      <c r="C81" s="300"/>
      <c r="D81" s="301"/>
      <c r="E81" s="524"/>
      <c r="F81" s="525"/>
      <c r="G81" s="525"/>
      <c r="H81" s="525"/>
      <c r="I81" s="526"/>
      <c r="J81" s="452"/>
      <c r="K81" s="453"/>
      <c r="L81" s="453"/>
      <c r="M81" s="453"/>
      <c r="N81" s="453"/>
      <c r="O81" s="453"/>
      <c r="P81" s="453"/>
      <c r="Q81" s="453"/>
      <c r="R81" s="453"/>
      <c r="S81" s="454"/>
      <c r="T81" s="460"/>
      <c r="U81" s="458"/>
      <c r="V81" s="458"/>
      <c r="W81" s="458"/>
      <c r="X81" s="458"/>
      <c r="Y81" s="458"/>
      <c r="Z81" s="458"/>
      <c r="AA81" s="458"/>
      <c r="AB81" s="458"/>
      <c r="AC81" s="459"/>
      <c r="AD81" s="460"/>
      <c r="AE81" s="458"/>
      <c r="AF81" s="458"/>
      <c r="AG81" s="458"/>
      <c r="AH81" s="458"/>
      <c r="AI81" s="458"/>
      <c r="AJ81" s="458"/>
      <c r="AK81" s="458"/>
      <c r="AL81" s="458"/>
      <c r="AM81" s="459"/>
      <c r="AN81" s="463"/>
      <c r="AO81" s="461"/>
      <c r="AP81" s="461"/>
      <c r="AQ81" s="461"/>
      <c r="AR81" s="461"/>
      <c r="AS81" s="461"/>
      <c r="AT81" s="461"/>
      <c r="AU81" s="461"/>
      <c r="AV81" s="461"/>
      <c r="AW81" s="462"/>
      <c r="AX81" s="457"/>
      <c r="AY81" s="455"/>
      <c r="AZ81" s="455"/>
      <c r="BA81" s="455"/>
      <c r="BB81" s="455"/>
      <c r="BC81" s="455"/>
      <c r="BD81" s="455"/>
      <c r="BE81" s="455"/>
      <c r="BF81" s="455"/>
      <c r="BG81" s="456"/>
      <c r="BH81" s="56"/>
      <c r="BI81" s="516"/>
      <c r="BJ81" s="517"/>
      <c r="BK81" s="517"/>
      <c r="BL81" s="517"/>
      <c r="BM81" s="517"/>
      <c r="BN81" s="518"/>
      <c r="BO81" s="56"/>
      <c r="BP81" s="56"/>
      <c r="BQ81" s="56"/>
      <c r="BR81" s="56"/>
      <c r="BS81" s="56"/>
      <c r="BT81" s="56"/>
      <c r="BU81" s="56"/>
      <c r="BV81" s="56"/>
      <c r="BW81" s="56"/>
      <c r="BX81" s="56"/>
      <c r="BY81" s="56"/>
      <c r="BZ81" s="56"/>
      <c r="CA81" s="56"/>
      <c r="CB81" s="56"/>
      <c r="CC81" s="56"/>
      <c r="CD81" s="56"/>
      <c r="CE81" s="56"/>
      <c r="CF81" s="56"/>
      <c r="CG81" s="56"/>
      <c r="CH81" s="56"/>
      <c r="CI81" s="56"/>
      <c r="CJ81" s="56"/>
      <c r="CK81" s="56"/>
      <c r="CL81" s="56"/>
      <c r="CM81" s="56"/>
      <c r="CN81" s="56"/>
      <c r="CO81" s="56"/>
      <c r="CP81" s="56"/>
      <c r="CQ81" s="56"/>
      <c r="CR81" s="56"/>
      <c r="CS81" s="56"/>
      <c r="CT81" s="56"/>
      <c r="CU81" s="56"/>
      <c r="CV81" s="56"/>
    </row>
    <row r="82" spans="1:100" ht="15" customHeight="1" x14ac:dyDescent="0.35">
      <c r="A82" s="56"/>
      <c r="B82" s="300"/>
      <c r="C82" s="300"/>
      <c r="D82" s="301"/>
      <c r="E82" s="524"/>
      <c r="F82" s="525"/>
      <c r="G82" s="525"/>
      <c r="H82" s="525"/>
      <c r="I82" s="526"/>
      <c r="J82" s="452" t="str">
        <f>IF(AND('Mapa final'!$K$124="Baja",'Mapa final'!$O$124="Leve"),CONCATENATE("R",'Mapa final'!$A$124),"")</f>
        <v/>
      </c>
      <c r="K82" s="453"/>
      <c r="L82" s="453" t="str">
        <f>IF(AND('Mapa final'!$K$127="Baja",'Mapa final'!$O$127="Leve"),CONCATENATE("R",'Mapa final'!$A$127),"")</f>
        <v/>
      </c>
      <c r="M82" s="453"/>
      <c r="N82" s="453" t="str">
        <f>IF(AND('Mapa final'!$K$130="Baja",'Mapa final'!$O$130="Leve"),CONCATENATE("R",'Mapa final'!$A$130),"")</f>
        <v/>
      </c>
      <c r="O82" s="453"/>
      <c r="P82" s="453" t="str">
        <f>IF(AND('Mapa final'!$K$133="Baja",'Mapa final'!$O$133="Leve"),CONCATENATE("R",'Mapa final'!$A$133),"")</f>
        <v/>
      </c>
      <c r="Q82" s="453"/>
      <c r="R82" s="453" t="str">
        <f>IF(AND('Mapa final'!$K$136="Baja",'Mapa final'!$O$136="Leve"),CONCATENATE("R",'Mapa final'!$A$136),"")</f>
        <v/>
      </c>
      <c r="S82" s="454"/>
      <c r="T82" s="460" t="str">
        <f>IF(AND('Mapa final'!$K$124="Baja",'Mapa final'!$O$124="Menor"),CONCATENATE("R",'Mapa final'!$A$124),"")</f>
        <v/>
      </c>
      <c r="U82" s="458"/>
      <c r="V82" s="458" t="str">
        <f>IF(AND('Mapa final'!$K$127="Baja",'Mapa final'!$O$127="Menor"),CONCATENATE("R",'Mapa final'!$A$127),"")</f>
        <v/>
      </c>
      <c r="W82" s="458"/>
      <c r="X82" s="458" t="str">
        <f>IF(AND('Mapa final'!$K$130="Baja",'Mapa final'!$O$130="Menor"),CONCATENATE("R",'Mapa final'!$A$130),"")</f>
        <v/>
      </c>
      <c r="Y82" s="458"/>
      <c r="Z82" s="458" t="str">
        <f>IF(AND('Mapa final'!$K$133="Baja",'Mapa final'!$O$133="Menor"),CONCATENATE("R",'Mapa final'!$A$133),"")</f>
        <v/>
      </c>
      <c r="AA82" s="458"/>
      <c r="AB82" s="458" t="str">
        <f>IF(AND('Mapa final'!$K$136="Baja",'Mapa final'!$O$136="Menor"),CONCATENATE("R",'Mapa final'!$A$136),"")</f>
        <v/>
      </c>
      <c r="AC82" s="459"/>
      <c r="AD82" s="460" t="str">
        <f>IF(AND('Mapa final'!$K$124="Baja",'Mapa final'!$O$124="Moderado"),CONCATENATE("R",'Mapa final'!$A$124),"")</f>
        <v/>
      </c>
      <c r="AE82" s="458"/>
      <c r="AF82" s="458" t="str">
        <f>IF(AND('Mapa final'!$K$127="Baja",'Mapa final'!$O$127="Moderado"),CONCATENATE("R",'Mapa final'!$A$127),"")</f>
        <v>R41</v>
      </c>
      <c r="AG82" s="458"/>
      <c r="AH82" s="458" t="str">
        <f>IF(AND('Mapa final'!$K$130="Baja",'Mapa final'!$O$130="Moderado"),CONCATENATE("R",'Mapa final'!$A$130),"")</f>
        <v/>
      </c>
      <c r="AI82" s="458"/>
      <c r="AJ82" s="458" t="str">
        <f>IF(AND('Mapa final'!$K$133="Baja",'Mapa final'!$O$133="Moderado"),CONCATENATE("R",'Mapa final'!$A$133),"")</f>
        <v/>
      </c>
      <c r="AK82" s="458"/>
      <c r="AL82" s="458" t="str">
        <f>IF(AND('Mapa final'!$K$136="Baja",'Mapa final'!$O$136="Moderado"),CONCATENATE("R",'Mapa final'!$A$136),"")</f>
        <v/>
      </c>
      <c r="AM82" s="459"/>
      <c r="AN82" s="463" t="str">
        <f>IF(AND('Mapa final'!$K$124="Baja",'Mapa final'!$O$124="Mayor"),CONCATENATE("R",'Mapa final'!$A$124),"")</f>
        <v/>
      </c>
      <c r="AO82" s="461"/>
      <c r="AP82" s="461" t="str">
        <f>IF(AND('Mapa final'!$K$127="Baja",'Mapa final'!$O$127="Mayor"),CONCATENATE("R",'Mapa final'!$A$127),"")</f>
        <v/>
      </c>
      <c r="AQ82" s="461"/>
      <c r="AR82" s="461" t="str">
        <f>IF(AND('Mapa final'!$K$130="Baja",'Mapa final'!$O$130="Mayor"),CONCATENATE("R",'Mapa final'!$A$130),"")</f>
        <v/>
      </c>
      <c r="AS82" s="461"/>
      <c r="AT82" s="461" t="str">
        <f>IF(AND('Mapa final'!$K$133="Baja",'Mapa final'!$O$133="Mayor"),CONCATENATE("R",'Mapa final'!$A$133),"")</f>
        <v/>
      </c>
      <c r="AU82" s="461"/>
      <c r="AV82" s="461" t="str">
        <f>IF(AND('Mapa final'!$K$136="Baja",'Mapa final'!$O$136="Mayor"),CONCATENATE("R",'Mapa final'!$A$136),"")</f>
        <v/>
      </c>
      <c r="AW82" s="462"/>
      <c r="AX82" s="457" t="str">
        <f>IF(AND('Mapa final'!$K$124="Baja",'Mapa final'!$O$124="Catastrófico"),CONCATENATE("R",'Mapa final'!$A$124),"")</f>
        <v/>
      </c>
      <c r="AY82" s="455"/>
      <c r="AZ82" s="455" t="str">
        <f>IF(AND('Mapa final'!$K$127="Baja",'Mapa final'!$O$127="Catastrófico"),CONCATENATE("R",'Mapa final'!$A$127),"")</f>
        <v/>
      </c>
      <c r="BA82" s="455"/>
      <c r="BB82" s="455" t="str">
        <f>IF(AND('Mapa final'!$K$130="Baja",'Mapa final'!$O$130="Catastrófico"),CONCATENATE("R",'Mapa final'!$A$130),"")</f>
        <v/>
      </c>
      <c r="BC82" s="455"/>
      <c r="BD82" s="455" t="str">
        <f>IF(AND('Mapa final'!$K$133="Baja",'Mapa final'!$O$133="Catastrófico"),CONCATENATE("R",'Mapa final'!$A$133),"")</f>
        <v/>
      </c>
      <c r="BE82" s="455"/>
      <c r="BF82" s="455" t="str">
        <f>IF(AND('Mapa final'!$K$136="Baja",'Mapa final'!$O$136="Catastrófico"),CONCATENATE("R",'Mapa final'!$A$136),"")</f>
        <v/>
      </c>
      <c r="BG82" s="456"/>
      <c r="BH82" s="56"/>
      <c r="BI82" s="516"/>
      <c r="BJ82" s="517"/>
      <c r="BK82" s="517"/>
      <c r="BL82" s="517"/>
      <c r="BM82" s="517"/>
      <c r="BN82" s="518"/>
      <c r="BO82" s="56"/>
      <c r="BP82" s="56"/>
      <c r="BQ82" s="56"/>
      <c r="BR82" s="56"/>
      <c r="BS82" s="56"/>
      <c r="BT82" s="56"/>
      <c r="BU82" s="56"/>
      <c r="BV82" s="56"/>
      <c r="BW82" s="56"/>
      <c r="BX82" s="56"/>
      <c r="BY82" s="56"/>
      <c r="BZ82" s="56"/>
      <c r="CA82" s="56"/>
      <c r="CB82" s="56"/>
      <c r="CC82" s="56"/>
      <c r="CD82" s="56"/>
      <c r="CE82" s="56"/>
      <c r="CF82" s="56"/>
      <c r="CG82" s="56"/>
      <c r="CH82" s="56"/>
      <c r="CI82" s="56"/>
      <c r="CJ82" s="56"/>
      <c r="CK82" s="56"/>
      <c r="CL82" s="56"/>
      <c r="CM82" s="56"/>
      <c r="CN82" s="56"/>
      <c r="CO82" s="56"/>
      <c r="CP82" s="56"/>
      <c r="CQ82" s="56"/>
      <c r="CR82" s="56"/>
      <c r="CS82" s="56"/>
      <c r="CT82" s="56"/>
      <c r="CU82" s="56"/>
      <c r="CV82" s="56"/>
    </row>
    <row r="83" spans="1:100" ht="15" customHeight="1" x14ac:dyDescent="0.35">
      <c r="A83" s="56"/>
      <c r="B83" s="300"/>
      <c r="C83" s="300"/>
      <c r="D83" s="301"/>
      <c r="E83" s="524"/>
      <c r="F83" s="525"/>
      <c r="G83" s="525"/>
      <c r="H83" s="525"/>
      <c r="I83" s="526"/>
      <c r="J83" s="452"/>
      <c r="K83" s="453"/>
      <c r="L83" s="453"/>
      <c r="M83" s="453"/>
      <c r="N83" s="453"/>
      <c r="O83" s="453"/>
      <c r="P83" s="453"/>
      <c r="Q83" s="453"/>
      <c r="R83" s="453"/>
      <c r="S83" s="454"/>
      <c r="T83" s="460"/>
      <c r="U83" s="458"/>
      <c r="V83" s="458"/>
      <c r="W83" s="458"/>
      <c r="X83" s="458"/>
      <c r="Y83" s="458"/>
      <c r="Z83" s="458"/>
      <c r="AA83" s="458"/>
      <c r="AB83" s="458"/>
      <c r="AC83" s="459"/>
      <c r="AD83" s="460"/>
      <c r="AE83" s="458"/>
      <c r="AF83" s="458"/>
      <c r="AG83" s="458"/>
      <c r="AH83" s="458"/>
      <c r="AI83" s="458"/>
      <c r="AJ83" s="458"/>
      <c r="AK83" s="458"/>
      <c r="AL83" s="458"/>
      <c r="AM83" s="459"/>
      <c r="AN83" s="463"/>
      <c r="AO83" s="461"/>
      <c r="AP83" s="461"/>
      <c r="AQ83" s="461"/>
      <c r="AR83" s="461"/>
      <c r="AS83" s="461"/>
      <c r="AT83" s="461"/>
      <c r="AU83" s="461"/>
      <c r="AV83" s="461"/>
      <c r="AW83" s="462"/>
      <c r="AX83" s="457"/>
      <c r="AY83" s="455"/>
      <c r="AZ83" s="455"/>
      <c r="BA83" s="455"/>
      <c r="BB83" s="455"/>
      <c r="BC83" s="455"/>
      <c r="BD83" s="455"/>
      <c r="BE83" s="455"/>
      <c r="BF83" s="455"/>
      <c r="BG83" s="456"/>
      <c r="BH83" s="56"/>
      <c r="BI83" s="516"/>
      <c r="BJ83" s="517"/>
      <c r="BK83" s="517"/>
      <c r="BL83" s="517"/>
      <c r="BM83" s="517"/>
      <c r="BN83" s="518"/>
      <c r="BO83" s="56"/>
      <c r="BP83" s="56"/>
      <c r="BQ83" s="56"/>
      <c r="BR83" s="56"/>
      <c r="BS83" s="56"/>
      <c r="BT83" s="56"/>
      <c r="BU83" s="56"/>
      <c r="BV83" s="56"/>
      <c r="BW83" s="56"/>
      <c r="BX83" s="56"/>
      <c r="BY83" s="56"/>
      <c r="BZ83" s="56"/>
      <c r="CA83" s="56"/>
      <c r="CB83" s="56"/>
      <c r="CC83" s="56"/>
      <c r="CD83" s="56"/>
      <c r="CE83" s="56"/>
      <c r="CF83" s="56"/>
      <c r="CG83" s="56"/>
      <c r="CH83" s="56"/>
      <c r="CI83" s="56"/>
      <c r="CJ83" s="56"/>
      <c r="CK83" s="56"/>
      <c r="CL83" s="56"/>
      <c r="CM83" s="56"/>
      <c r="CN83" s="56"/>
      <c r="CO83" s="56"/>
      <c r="CP83" s="56"/>
      <c r="CQ83" s="56"/>
      <c r="CR83" s="56"/>
      <c r="CS83" s="56"/>
      <c r="CT83" s="56"/>
      <c r="CU83" s="56"/>
      <c r="CV83" s="56"/>
    </row>
    <row r="84" spans="1:100" ht="15" customHeight="1" x14ac:dyDescent="0.35">
      <c r="A84" s="56"/>
      <c r="B84" s="300"/>
      <c r="C84" s="300"/>
      <c r="D84" s="301"/>
      <c r="E84" s="524"/>
      <c r="F84" s="525"/>
      <c r="G84" s="525"/>
      <c r="H84" s="525"/>
      <c r="I84" s="526"/>
      <c r="J84" s="452" t="str">
        <f>IF(AND('Mapa final'!$K$139="Baja",'Mapa final'!$O$139="Leve"),CONCATENATE("R",'Mapa final'!$A$139),"")</f>
        <v/>
      </c>
      <c r="K84" s="453"/>
      <c r="L84" s="453" t="str">
        <f>IF(AND('Mapa final'!$K$142="Baja",'Mapa final'!$O$142="Leve"),CONCATENATE("R",'Mapa final'!$A$142),"")</f>
        <v/>
      </c>
      <c r="M84" s="453"/>
      <c r="N84" s="453" t="str">
        <f>IF(AND('Mapa final'!$K$145="Baja",'Mapa final'!$O$145="Leve"),CONCATENATE("R",'Mapa final'!$A$145),"")</f>
        <v/>
      </c>
      <c r="O84" s="453"/>
      <c r="P84" s="453" t="str">
        <f>IF(AND('Mapa final'!$K$148="Baja",'Mapa final'!$O$148="Leve"),CONCATENATE("R",'Mapa final'!$A$148),"")</f>
        <v/>
      </c>
      <c r="Q84" s="453"/>
      <c r="R84" s="453" t="str">
        <f>IF(AND('Mapa final'!$K$151="Baja",'Mapa final'!$O$151="Leve"),CONCATENATE("R",'Mapa final'!$A$151),"")</f>
        <v/>
      </c>
      <c r="S84" s="454"/>
      <c r="T84" s="460" t="str">
        <f>IF(AND('Mapa final'!$K$139="Baja",'Mapa final'!$O$139="Menor"),CONCATENATE("R",'Mapa final'!$A$139),"")</f>
        <v/>
      </c>
      <c r="U84" s="458"/>
      <c r="V84" s="458" t="str">
        <f>IF(AND('Mapa final'!$K$142="Baja",'Mapa final'!$O$142="Menor"),CONCATENATE("R",'Mapa final'!$A$142),"")</f>
        <v/>
      </c>
      <c r="W84" s="458"/>
      <c r="X84" s="458" t="str">
        <f>IF(AND('Mapa final'!$K$145="Baja",'Mapa final'!$O$145="Menor"),CONCATENATE("R",'Mapa final'!$A$145),"")</f>
        <v/>
      </c>
      <c r="Y84" s="458"/>
      <c r="Z84" s="458" t="str">
        <f>IF(AND('Mapa final'!$K$148="Baja",'Mapa final'!$O$148="Menor"),CONCATENATE("R",'Mapa final'!$A$148),"")</f>
        <v/>
      </c>
      <c r="AA84" s="458"/>
      <c r="AB84" s="458" t="str">
        <f>IF(AND('Mapa final'!$K$151="Baja",'Mapa final'!$O$151="Menor"),CONCATENATE("R",'Mapa final'!$A$151),"")</f>
        <v/>
      </c>
      <c r="AC84" s="459"/>
      <c r="AD84" s="460" t="str">
        <f>IF(AND('Mapa final'!$K$139="Baja",'Mapa final'!$O$139="Moderado"),CONCATENATE("R",'Mapa final'!$A$139),"")</f>
        <v/>
      </c>
      <c r="AE84" s="458"/>
      <c r="AF84" s="458" t="str">
        <f>IF(AND('Mapa final'!$K$142="Baja",'Mapa final'!$O$142="Moderado"),CONCATENATE("R",'Mapa final'!$A$142),"")</f>
        <v>R46</v>
      </c>
      <c r="AG84" s="458"/>
      <c r="AH84" s="458" t="str">
        <f>IF(AND('Mapa final'!$K$145="Baja",'Mapa final'!$O$145="Moderado"),CONCATENATE("R",'Mapa final'!$A$145),"")</f>
        <v>R</v>
      </c>
      <c r="AI84" s="458"/>
      <c r="AJ84" s="458" t="str">
        <f>IF(AND('Mapa final'!$K$148="Baja",'Mapa final'!$O$148="Moderado"),CONCATENATE("R",'Mapa final'!$A$148),"")</f>
        <v/>
      </c>
      <c r="AK84" s="458"/>
      <c r="AL84" s="458" t="str">
        <f>IF(AND('Mapa final'!$K$151="Baja",'Mapa final'!$O$151="Moderado"),CONCATENATE("R",'Mapa final'!$A$151),"")</f>
        <v/>
      </c>
      <c r="AM84" s="459"/>
      <c r="AN84" s="463" t="str">
        <f>IF(AND('Mapa final'!$K$139="Baja",'Mapa final'!$O$139="Mayor"),CONCATENATE("R",'Mapa final'!$A$139),"")</f>
        <v>R45</v>
      </c>
      <c r="AO84" s="461"/>
      <c r="AP84" s="461" t="str">
        <f>IF(AND('Mapa final'!$K$142="Baja",'Mapa final'!$O$142="Mayor"),CONCATENATE("R",'Mapa final'!$A$142),"")</f>
        <v/>
      </c>
      <c r="AQ84" s="461"/>
      <c r="AR84" s="461" t="str">
        <f>IF(AND('Mapa final'!$K$145="Baja",'Mapa final'!$O$145="Mayor"),CONCATENATE("R",'Mapa final'!$A$145),"")</f>
        <v/>
      </c>
      <c r="AS84" s="461"/>
      <c r="AT84" s="461" t="str">
        <f>IF(AND('Mapa final'!$K$148="Baja",'Mapa final'!$O$148="Mayor"),CONCATENATE("R",'Mapa final'!$A$148),"")</f>
        <v/>
      </c>
      <c r="AU84" s="461"/>
      <c r="AV84" s="461" t="str">
        <f>IF(AND('Mapa final'!$K$151="Baja",'Mapa final'!$O$151="Mayor"),CONCATENATE("R",'Mapa final'!$A$151),"")</f>
        <v/>
      </c>
      <c r="AW84" s="462"/>
      <c r="AX84" s="457" t="str">
        <f>IF(AND('Mapa final'!$K$139="Baja",'Mapa final'!$O$139="Catastrófico"),CONCATENATE("R",'Mapa final'!$A$139),"")</f>
        <v/>
      </c>
      <c r="AY84" s="455"/>
      <c r="AZ84" s="455" t="str">
        <f>IF(AND('Mapa final'!$K$142="Baja",'Mapa final'!$O$142="Catastrófico"),CONCATENATE("R",'Mapa final'!$A$142),"")</f>
        <v/>
      </c>
      <c r="BA84" s="455"/>
      <c r="BB84" s="455" t="str">
        <f>IF(AND('Mapa final'!$K$145="Baja",'Mapa final'!$O$145="Catastrófico"),CONCATENATE("R",'Mapa final'!$A$145),"")</f>
        <v/>
      </c>
      <c r="BC84" s="455"/>
      <c r="BD84" s="455" t="str">
        <f>IF(AND('Mapa final'!$K$148="Baja",'Mapa final'!$O$148="Catastrófico"),CONCATENATE("R",'Mapa final'!$A$148),"")</f>
        <v/>
      </c>
      <c r="BE84" s="455"/>
      <c r="BF84" s="455" t="str">
        <f>IF(AND('Mapa final'!$K$151="Baja",'Mapa final'!$O$151="Catastrófico"),CONCATENATE("R",'Mapa final'!$A$151),"")</f>
        <v/>
      </c>
      <c r="BG84" s="456"/>
      <c r="BH84" s="56"/>
      <c r="BI84" s="516"/>
      <c r="BJ84" s="517"/>
      <c r="BK84" s="517"/>
      <c r="BL84" s="517"/>
      <c r="BM84" s="517"/>
      <c r="BN84" s="518"/>
      <c r="BO84" s="56"/>
      <c r="BP84" s="56"/>
      <c r="BQ84" s="56"/>
      <c r="BR84" s="56"/>
      <c r="BS84" s="56"/>
      <c r="BT84" s="56"/>
      <c r="BU84" s="56"/>
      <c r="BV84" s="56"/>
      <c r="BW84" s="56"/>
      <c r="BX84" s="56"/>
      <c r="BY84" s="56"/>
      <c r="BZ84" s="56"/>
      <c r="CA84" s="56"/>
      <c r="CB84" s="56"/>
      <c r="CC84" s="56"/>
      <c r="CD84" s="56"/>
      <c r="CE84" s="56"/>
      <c r="CF84" s="56"/>
      <c r="CG84" s="56"/>
      <c r="CH84" s="56"/>
      <c r="CI84" s="56"/>
      <c r="CJ84" s="56"/>
      <c r="CK84" s="56"/>
      <c r="CL84" s="56"/>
      <c r="CM84" s="56"/>
      <c r="CN84" s="56"/>
      <c r="CO84" s="56"/>
      <c r="CP84" s="56"/>
      <c r="CQ84" s="56"/>
      <c r="CR84" s="56"/>
      <c r="CS84" s="56"/>
      <c r="CT84" s="56"/>
      <c r="CU84" s="56"/>
      <c r="CV84" s="56"/>
    </row>
    <row r="85" spans="1:100" ht="15.75" customHeight="1" thickBot="1" x14ac:dyDescent="0.4">
      <c r="A85" s="56"/>
      <c r="B85" s="300"/>
      <c r="C85" s="300"/>
      <c r="D85" s="301"/>
      <c r="E85" s="527"/>
      <c r="F85" s="528"/>
      <c r="G85" s="528"/>
      <c r="H85" s="528"/>
      <c r="I85" s="528"/>
      <c r="J85" s="481"/>
      <c r="K85" s="482"/>
      <c r="L85" s="482"/>
      <c r="M85" s="482"/>
      <c r="N85" s="482"/>
      <c r="O85" s="482"/>
      <c r="P85" s="482"/>
      <c r="Q85" s="482"/>
      <c r="R85" s="482"/>
      <c r="S85" s="484"/>
      <c r="T85" s="470"/>
      <c r="U85" s="471"/>
      <c r="V85" s="471"/>
      <c r="W85" s="471"/>
      <c r="X85" s="471"/>
      <c r="Y85" s="471"/>
      <c r="Z85" s="471"/>
      <c r="AA85" s="471"/>
      <c r="AB85" s="471"/>
      <c r="AC85" s="472"/>
      <c r="AD85" s="470"/>
      <c r="AE85" s="471"/>
      <c r="AF85" s="471"/>
      <c r="AG85" s="471"/>
      <c r="AH85" s="471"/>
      <c r="AI85" s="471"/>
      <c r="AJ85" s="471"/>
      <c r="AK85" s="471"/>
      <c r="AL85" s="471"/>
      <c r="AM85" s="472"/>
      <c r="AN85" s="464"/>
      <c r="AO85" s="465"/>
      <c r="AP85" s="465"/>
      <c r="AQ85" s="465"/>
      <c r="AR85" s="465"/>
      <c r="AS85" s="465"/>
      <c r="AT85" s="465"/>
      <c r="AU85" s="465"/>
      <c r="AV85" s="465"/>
      <c r="AW85" s="466"/>
      <c r="AX85" s="477"/>
      <c r="AY85" s="476"/>
      <c r="AZ85" s="476"/>
      <c r="BA85" s="476"/>
      <c r="BB85" s="476"/>
      <c r="BC85" s="476"/>
      <c r="BD85" s="476"/>
      <c r="BE85" s="476"/>
      <c r="BF85" s="476"/>
      <c r="BG85" s="478"/>
      <c r="BH85" s="56"/>
      <c r="BI85" s="516"/>
      <c r="BJ85" s="517"/>
      <c r="BK85" s="517"/>
      <c r="BL85" s="517"/>
      <c r="BM85" s="517"/>
      <c r="BN85" s="518"/>
      <c r="BO85" s="56"/>
      <c r="BP85" s="56"/>
      <c r="BQ85" s="56"/>
      <c r="BR85" s="56"/>
      <c r="BS85" s="56"/>
      <c r="BT85" s="56"/>
      <c r="BU85" s="56"/>
      <c r="BV85" s="56"/>
      <c r="BW85" s="56"/>
      <c r="BX85" s="56"/>
      <c r="BY85" s="56"/>
      <c r="BZ85" s="56"/>
      <c r="CA85" s="56"/>
      <c r="CB85" s="56"/>
      <c r="CC85" s="56"/>
      <c r="CD85" s="56"/>
      <c r="CE85" s="56"/>
      <c r="CF85" s="56"/>
      <c r="CG85" s="56"/>
      <c r="CH85" s="56"/>
      <c r="CI85" s="56"/>
      <c r="CJ85" s="56"/>
      <c r="CK85" s="56"/>
      <c r="CL85" s="56"/>
      <c r="CM85" s="56"/>
      <c r="CN85" s="56"/>
      <c r="CO85" s="56"/>
      <c r="CP85" s="56"/>
      <c r="CQ85" s="56"/>
      <c r="CR85" s="56"/>
      <c r="CS85" s="56"/>
      <c r="CT85" s="56"/>
      <c r="CU85" s="56"/>
      <c r="CV85" s="56"/>
    </row>
    <row r="86" spans="1:100" ht="15" customHeight="1" x14ac:dyDescent="0.35">
      <c r="A86" s="56"/>
      <c r="B86" s="300"/>
      <c r="C86" s="300"/>
      <c r="D86" s="301"/>
      <c r="E86" s="522" t="s">
        <v>104</v>
      </c>
      <c r="F86" s="523"/>
      <c r="G86" s="523"/>
      <c r="H86" s="523"/>
      <c r="I86" s="529"/>
      <c r="J86" s="537" t="str">
        <f>IF(AND('Mapa final'!$K$7="Muy Baja",'Mapa final'!$O$7="Leve"),CONCATENATE("R",'Mapa final'!$A$7),"")</f>
        <v/>
      </c>
      <c r="K86" s="483"/>
      <c r="L86" s="483" t="str">
        <f>IF(AND('Mapa final'!$K$10="Muy Baja",'Mapa final'!$O$10="Leve"),CONCATENATE("R",'Mapa final'!$A$10),"")</f>
        <v/>
      </c>
      <c r="M86" s="483"/>
      <c r="N86" s="483" t="str">
        <f>IF(AND('Mapa final'!$K$13="Muy Baja",'Mapa final'!$O$13="Leve"),CONCATENATE("R",'Mapa final'!$A$13),"")</f>
        <v/>
      </c>
      <c r="O86" s="483"/>
      <c r="P86" s="483" t="e">
        <f>IF(AND('Mapa final'!#REF!="Muy Baja",'Mapa final'!#REF!="Leve"),CONCATENATE("R",'Mapa final'!#REF!),"")</f>
        <v>#REF!</v>
      </c>
      <c r="Q86" s="483"/>
      <c r="R86" s="483" t="str">
        <f>IF(AND('Mapa final'!$K$16="Muy Baja",'Mapa final'!$O$16="Leve"),CONCATENATE("R",'Mapa final'!$A$16),"")</f>
        <v/>
      </c>
      <c r="S86" s="485"/>
      <c r="T86" s="537" t="str">
        <f>IF(AND('Mapa final'!$K$7="Muy Baja",'Mapa final'!$O$7="Menor"),CONCATENATE("R",'Mapa final'!$A$7),"")</f>
        <v/>
      </c>
      <c r="U86" s="483"/>
      <c r="V86" s="483" t="str">
        <f>IF(AND('Mapa final'!$K$10="Muy Baja",'Mapa final'!$O$10="Menor"),CONCATENATE("R",'Mapa final'!$A$10),"")</f>
        <v/>
      </c>
      <c r="W86" s="483"/>
      <c r="X86" s="483" t="str">
        <f>IF(AND('Mapa final'!$K$13="Muy Baja",'Mapa final'!$O$13="Menor"),CONCATENATE("R",'Mapa final'!$A$13),"")</f>
        <v/>
      </c>
      <c r="Y86" s="483"/>
      <c r="Z86" s="483" t="e">
        <f>IF(AND('Mapa final'!#REF!="Muy Baja",'Mapa final'!#REF!="Menor"),CONCATENATE("R",'Mapa final'!#REF!),"")</f>
        <v>#REF!</v>
      </c>
      <c r="AA86" s="483"/>
      <c r="AB86" s="483" t="str">
        <f>IF(AND('Mapa final'!$K$16="Muy Baja",'Mapa final'!$O$16="Menor"),CONCATENATE("R",'Mapa final'!$A$16),"")</f>
        <v/>
      </c>
      <c r="AC86" s="485"/>
      <c r="AD86" s="467" t="str">
        <f>IF(AND('Mapa final'!$K$7="Muy Baja",'Mapa final'!$O$7="Moderado"),CONCATENATE("R",'Mapa final'!$A$7),"")</f>
        <v/>
      </c>
      <c r="AE86" s="468"/>
      <c r="AF86" s="468" t="str">
        <f>IF(AND('Mapa final'!$K$10="Muy Baja",'Mapa final'!$O$10="Moderado"),CONCATENATE("R",'Mapa final'!$A$10),"")</f>
        <v/>
      </c>
      <c r="AG86" s="468"/>
      <c r="AH86" s="468" t="str">
        <f>IF(AND('Mapa final'!$K$13="Muy Baja",'Mapa final'!$O$13="Moderado"),CONCATENATE("R",'Mapa final'!$A$13),"")</f>
        <v/>
      </c>
      <c r="AI86" s="468"/>
      <c r="AJ86" s="468" t="e">
        <f>IF(AND('Mapa final'!#REF!="Muy Baja",'Mapa final'!#REF!="Moderado"),CONCATENATE("R",'Mapa final'!#REF!),"")</f>
        <v>#REF!</v>
      </c>
      <c r="AK86" s="468"/>
      <c r="AL86" s="468" t="str">
        <f>IF(AND('Mapa final'!$K$16="Muy Baja",'Mapa final'!$O$16="Moderado"),CONCATENATE("R",'Mapa final'!$A$16),"")</f>
        <v/>
      </c>
      <c r="AM86" s="469"/>
      <c r="AN86" s="473" t="str">
        <f>IF(AND('Mapa final'!$K$7="Muy Baja",'Mapa final'!$O$7="Mayor"),CONCATENATE("R",'Mapa final'!$A$7),"")</f>
        <v/>
      </c>
      <c r="AO86" s="474"/>
      <c r="AP86" s="474" t="str">
        <f>IF(AND('Mapa final'!$K$10="Muy Baja",'Mapa final'!$O$10="Mayor"),CONCATENATE("R",'Mapa final'!$A$10),"")</f>
        <v/>
      </c>
      <c r="AQ86" s="474"/>
      <c r="AR86" s="474" t="str">
        <f>IF(AND('Mapa final'!$K$13="Muy Baja",'Mapa final'!$O$13="Mayor"),CONCATENATE("R",'Mapa final'!$A$13),"")</f>
        <v/>
      </c>
      <c r="AS86" s="474"/>
      <c r="AT86" s="474" t="e">
        <f>IF(AND('Mapa final'!#REF!="Muy Baja",'Mapa final'!#REF!="Mayor"),CONCATENATE("R",'Mapa final'!#REF!),"")</f>
        <v>#REF!</v>
      </c>
      <c r="AU86" s="474"/>
      <c r="AV86" s="474" t="str">
        <f>IF(AND('Mapa final'!$K$16="Muy Baja",'Mapa final'!$O$16="Mayor"),CONCATENATE("R",'Mapa final'!$A$16),"")</f>
        <v/>
      </c>
      <c r="AW86" s="475"/>
      <c r="AX86" s="480" t="str">
        <f>IF(AND('Mapa final'!$K$7="Muy Baja",'Mapa final'!$O$7="Catastrófico"),CONCATENATE("R",'Mapa final'!$A$7),"")</f>
        <v/>
      </c>
      <c r="AY86" s="479"/>
      <c r="AZ86" s="479" t="str">
        <f>IF(AND('Mapa final'!$K$10="Muy Baja",'Mapa final'!$O$10="Catastrófico"),CONCATENATE("R",'Mapa final'!$A$10),"")</f>
        <v/>
      </c>
      <c r="BA86" s="479"/>
      <c r="BB86" s="479" t="str">
        <f>IF(AND('Mapa final'!$K$13="Muy Baja",'Mapa final'!$O$13="Catastrófico"),CONCATENATE("R",'Mapa final'!$A$13),"")</f>
        <v/>
      </c>
      <c r="BC86" s="479"/>
      <c r="BD86" s="479" t="e">
        <f>IF(AND('Mapa final'!#REF!="Muy Baja",'Mapa final'!#REF!="Catastrófico"),CONCATENATE("R",'Mapa final'!#REF!),"")</f>
        <v>#REF!</v>
      </c>
      <c r="BE86" s="479"/>
      <c r="BF86" s="479" t="str">
        <f>IF(AND('Mapa final'!$K$16="Muy Baja",'Mapa final'!$O$16="Catastrófico"),CONCATENATE("R",'Mapa final'!$A$16),"")</f>
        <v/>
      </c>
      <c r="BG86" s="536"/>
      <c r="BH86" s="56"/>
      <c r="BI86" s="516"/>
      <c r="BJ86" s="517"/>
      <c r="BK86" s="517"/>
      <c r="BL86" s="517"/>
      <c r="BM86" s="517"/>
      <c r="BN86" s="518"/>
      <c r="BO86" s="56"/>
      <c r="BP86" s="56"/>
      <c r="BQ86" s="56"/>
      <c r="BR86" s="56"/>
      <c r="BS86" s="56"/>
      <c r="BT86" s="56"/>
      <c r="BU86" s="56"/>
      <c r="BV86" s="56"/>
      <c r="BW86" s="56"/>
      <c r="BX86" s="56"/>
      <c r="BY86" s="56"/>
      <c r="BZ86" s="56"/>
      <c r="CA86" s="56"/>
      <c r="CB86" s="56"/>
      <c r="CC86" s="56"/>
      <c r="CD86" s="56"/>
      <c r="CE86" s="56"/>
      <c r="CF86" s="56"/>
      <c r="CG86" s="56"/>
      <c r="CH86" s="56"/>
      <c r="CI86" s="56"/>
      <c r="CJ86" s="56"/>
      <c r="CK86" s="56"/>
      <c r="CL86" s="56"/>
      <c r="CM86" s="56"/>
      <c r="CN86" s="56"/>
      <c r="CO86" s="56"/>
      <c r="CP86" s="56"/>
      <c r="CQ86" s="56"/>
      <c r="CR86" s="56"/>
      <c r="CS86" s="56"/>
      <c r="CT86" s="56"/>
      <c r="CU86" s="56"/>
      <c r="CV86" s="56"/>
    </row>
    <row r="87" spans="1:100" ht="15" customHeight="1" x14ac:dyDescent="0.35">
      <c r="A87" s="56"/>
      <c r="B87" s="300"/>
      <c r="C87" s="300"/>
      <c r="D87" s="301"/>
      <c r="E87" s="524"/>
      <c r="F87" s="525"/>
      <c r="G87" s="525"/>
      <c r="H87" s="525"/>
      <c r="I87" s="530"/>
      <c r="J87" s="452"/>
      <c r="K87" s="453"/>
      <c r="L87" s="453"/>
      <c r="M87" s="453"/>
      <c r="N87" s="453"/>
      <c r="O87" s="453"/>
      <c r="P87" s="453"/>
      <c r="Q87" s="453"/>
      <c r="R87" s="453"/>
      <c r="S87" s="454"/>
      <c r="T87" s="452"/>
      <c r="U87" s="453"/>
      <c r="V87" s="453"/>
      <c r="W87" s="453"/>
      <c r="X87" s="453"/>
      <c r="Y87" s="453"/>
      <c r="Z87" s="453"/>
      <c r="AA87" s="453"/>
      <c r="AB87" s="453"/>
      <c r="AC87" s="454"/>
      <c r="AD87" s="460"/>
      <c r="AE87" s="458"/>
      <c r="AF87" s="458"/>
      <c r="AG87" s="458"/>
      <c r="AH87" s="458"/>
      <c r="AI87" s="458"/>
      <c r="AJ87" s="458"/>
      <c r="AK87" s="458"/>
      <c r="AL87" s="458"/>
      <c r="AM87" s="459"/>
      <c r="AN87" s="463"/>
      <c r="AO87" s="461"/>
      <c r="AP87" s="461"/>
      <c r="AQ87" s="461"/>
      <c r="AR87" s="461"/>
      <c r="AS87" s="461"/>
      <c r="AT87" s="461"/>
      <c r="AU87" s="461"/>
      <c r="AV87" s="461"/>
      <c r="AW87" s="462"/>
      <c r="AX87" s="457"/>
      <c r="AY87" s="455"/>
      <c r="AZ87" s="455"/>
      <c r="BA87" s="455"/>
      <c r="BB87" s="455"/>
      <c r="BC87" s="455"/>
      <c r="BD87" s="455"/>
      <c r="BE87" s="455"/>
      <c r="BF87" s="455"/>
      <c r="BG87" s="456"/>
      <c r="BH87" s="56"/>
      <c r="BI87" s="516"/>
      <c r="BJ87" s="517"/>
      <c r="BK87" s="517"/>
      <c r="BL87" s="517"/>
      <c r="BM87" s="517"/>
      <c r="BN87" s="518"/>
      <c r="BO87" s="56"/>
      <c r="BP87" s="56"/>
      <c r="BQ87" s="56"/>
      <c r="BR87" s="56"/>
      <c r="BS87" s="56"/>
      <c r="BT87" s="56"/>
      <c r="BU87" s="56"/>
      <c r="BV87" s="56"/>
      <c r="BW87" s="56"/>
      <c r="BX87" s="56"/>
      <c r="BY87" s="56"/>
      <c r="BZ87" s="56"/>
      <c r="CA87" s="56"/>
      <c r="CB87" s="56"/>
      <c r="CC87" s="56"/>
      <c r="CD87" s="56"/>
      <c r="CE87" s="56"/>
      <c r="CF87" s="56"/>
      <c r="CG87" s="56"/>
      <c r="CH87" s="56"/>
      <c r="CI87" s="56"/>
      <c r="CJ87" s="56"/>
      <c r="CK87" s="56"/>
      <c r="CL87" s="56"/>
      <c r="CM87" s="56"/>
      <c r="CN87" s="56"/>
      <c r="CO87" s="56"/>
      <c r="CP87" s="56"/>
      <c r="CQ87" s="56"/>
      <c r="CR87" s="56"/>
      <c r="CS87" s="56"/>
      <c r="CT87" s="56"/>
      <c r="CU87" s="56"/>
      <c r="CV87" s="56"/>
    </row>
    <row r="88" spans="1:100" ht="15" customHeight="1" x14ac:dyDescent="0.35">
      <c r="A88" s="56"/>
      <c r="B88" s="300"/>
      <c r="C88" s="300"/>
      <c r="D88" s="301"/>
      <c r="E88" s="524"/>
      <c r="F88" s="525"/>
      <c r="G88" s="525"/>
      <c r="H88" s="525"/>
      <c r="I88" s="530"/>
      <c r="J88" s="452" t="str">
        <f>IF(AND('Mapa final'!$K$19="Muy Baja",'Mapa final'!$O$19="Leve"),CONCATENATE("R",'Mapa final'!$A$19),"")</f>
        <v/>
      </c>
      <c r="K88" s="453"/>
      <c r="L88" s="453" t="str">
        <f>IF(AND('Mapa final'!$K$22="Muy Baja",'Mapa final'!$O$22="Leve"),CONCATENATE("R",'Mapa final'!$A$22),"")</f>
        <v/>
      </c>
      <c r="M88" s="453"/>
      <c r="N88" s="453" t="str">
        <f>IF(AND('Mapa final'!$K$25="Muy Baja",'Mapa final'!$O$25="Leve"),CONCATENATE("R",'Mapa final'!$A$25),"")</f>
        <v/>
      </c>
      <c r="O88" s="453"/>
      <c r="P88" s="453" t="str">
        <f>IF(AND('Mapa final'!$K$28="Muy Baja",'Mapa final'!$O$28="Leve"),CONCATENATE("R",'Mapa final'!$A$28),"")</f>
        <v/>
      </c>
      <c r="Q88" s="453"/>
      <c r="R88" s="453" t="str">
        <f>IF(AND('Mapa final'!$K$31="Muy Baja",'Mapa final'!$O$31="Leve"),CONCATENATE("R",'Mapa final'!$A$31),"")</f>
        <v/>
      </c>
      <c r="S88" s="454"/>
      <c r="T88" s="452" t="str">
        <f>IF(AND('Mapa final'!$K$19="Muy Baja",'Mapa final'!$O$19="Menor"),CONCATENATE("R",'Mapa final'!$A$19),"")</f>
        <v/>
      </c>
      <c r="U88" s="453"/>
      <c r="V88" s="453" t="str">
        <f>IF(AND('Mapa final'!$K$22="Muy Baja",'Mapa final'!$O$22="Menor"),CONCATENATE("R",'Mapa final'!$A$22),"")</f>
        <v/>
      </c>
      <c r="W88" s="453"/>
      <c r="X88" s="453" t="str">
        <f>IF(AND('Mapa final'!$K$25="Muy Baja",'Mapa final'!$O$25="Menor"),CONCATENATE("R",'Mapa final'!$A$25),"")</f>
        <v/>
      </c>
      <c r="Y88" s="453"/>
      <c r="Z88" s="453" t="str">
        <f>IF(AND('Mapa final'!$K$28="Muy Baja",'Mapa final'!$O$28="Menor"),CONCATENATE("R",'Mapa final'!$A$28),"")</f>
        <v/>
      </c>
      <c r="AA88" s="453"/>
      <c r="AB88" s="453" t="str">
        <f>IF(AND('Mapa final'!$K$31="Muy Baja",'Mapa final'!$O$31="Menor"),CONCATENATE("R",'Mapa final'!$A$31),"")</f>
        <v/>
      </c>
      <c r="AC88" s="454"/>
      <c r="AD88" s="460" t="str">
        <f>IF(AND('Mapa final'!$K$19="Muy Baja",'Mapa final'!$O$19="Moderado"),CONCATENATE("R",'Mapa final'!$A$19),"")</f>
        <v>R5</v>
      </c>
      <c r="AE88" s="458"/>
      <c r="AF88" s="458" t="str">
        <f>IF(AND('Mapa final'!$K$22="Muy Baja",'Mapa final'!$O$22="Moderado"),CONCATENATE("R",'Mapa final'!$A$22),"")</f>
        <v>R6</v>
      </c>
      <c r="AG88" s="458"/>
      <c r="AH88" s="458" t="str">
        <f>IF(AND('Mapa final'!$K$25="Muy Baja",'Mapa final'!$O$25="Moderado"),CONCATENATE("R",'Mapa final'!$A$25),"")</f>
        <v/>
      </c>
      <c r="AI88" s="458"/>
      <c r="AJ88" s="458" t="str">
        <f>IF(AND('Mapa final'!$K$28="Muy Baja",'Mapa final'!$O$28="Moderado"),CONCATENATE("R",'Mapa final'!$A$28),"")</f>
        <v/>
      </c>
      <c r="AK88" s="458"/>
      <c r="AL88" s="458" t="str">
        <f>IF(AND('Mapa final'!$K$31="Muy Baja",'Mapa final'!$O$31="Moderado"),CONCATENATE("R",'Mapa final'!$A$31),"")</f>
        <v/>
      </c>
      <c r="AM88" s="459"/>
      <c r="AN88" s="463" t="str">
        <f>IF(AND('Mapa final'!$K$19="Muy Baja",'Mapa final'!$O$19="Mayor"),CONCATENATE("R",'Mapa final'!$A$19),"")</f>
        <v/>
      </c>
      <c r="AO88" s="461"/>
      <c r="AP88" s="461" t="str">
        <f>IF(AND('Mapa final'!$K$22="Muy Baja",'Mapa final'!$O$22="Mayor"),CONCATENATE("R",'Mapa final'!$A$22),"")</f>
        <v/>
      </c>
      <c r="AQ88" s="461"/>
      <c r="AR88" s="461" t="str">
        <f>IF(AND('Mapa final'!$K$25="Muy Baja",'Mapa final'!$O$25="Mayor"),CONCATENATE("R",'Mapa final'!$A$25),"")</f>
        <v/>
      </c>
      <c r="AS88" s="461"/>
      <c r="AT88" s="461" t="str">
        <f>IF(AND('Mapa final'!$K$28="Muy Baja",'Mapa final'!$O$28="Mayor"),CONCATENATE("R",'Mapa final'!$A$28),"")</f>
        <v/>
      </c>
      <c r="AU88" s="461"/>
      <c r="AV88" s="461" t="str">
        <f>IF(AND('Mapa final'!$K$31="Muy Baja",'Mapa final'!$O$31="Mayor"),CONCATENATE("R",'Mapa final'!$A$31),"")</f>
        <v/>
      </c>
      <c r="AW88" s="462"/>
      <c r="AX88" s="457" t="str">
        <f>IF(AND('Mapa final'!$K$19="Muy Baja",'Mapa final'!$O$19="Catastrófico"),CONCATENATE("R",'Mapa final'!$A$19),"")</f>
        <v/>
      </c>
      <c r="AY88" s="455"/>
      <c r="AZ88" s="455" t="str">
        <f>IF(AND('Mapa final'!$K$22="Muy Baja",'Mapa final'!$O$22="Catastrófico"),CONCATENATE("R",'Mapa final'!$A$22),"")</f>
        <v/>
      </c>
      <c r="BA88" s="455"/>
      <c r="BB88" s="455" t="str">
        <f>IF(AND('Mapa final'!$K$25="Muy Baja",'Mapa final'!$O$25="Catastrófico"),CONCATENATE("R",'Mapa final'!$A$25),"")</f>
        <v/>
      </c>
      <c r="BC88" s="455"/>
      <c r="BD88" s="455" t="str">
        <f>IF(AND('Mapa final'!$K$28="Muy Baja",'Mapa final'!$O$28="Catastrófico"),CONCATENATE("R",'Mapa final'!$A$28),"")</f>
        <v/>
      </c>
      <c r="BE88" s="455"/>
      <c r="BF88" s="455" t="str">
        <f>IF(AND('Mapa final'!$K$31="Muy Baja",'Mapa final'!$O$31="Catastrófico"),CONCATENATE("R",'Mapa final'!$A$31),"")</f>
        <v/>
      </c>
      <c r="BG88" s="456"/>
      <c r="BH88" s="56"/>
      <c r="BI88" s="516"/>
      <c r="BJ88" s="517"/>
      <c r="BK88" s="517"/>
      <c r="BL88" s="517"/>
      <c r="BM88" s="517"/>
      <c r="BN88" s="518"/>
      <c r="BO88" s="56"/>
      <c r="BP88" s="56"/>
      <c r="BQ88" s="56"/>
      <c r="BR88" s="56"/>
      <c r="BS88" s="56"/>
      <c r="BT88" s="56"/>
      <c r="BU88" s="56"/>
      <c r="BV88" s="56"/>
      <c r="BW88" s="56"/>
      <c r="BX88" s="56"/>
      <c r="BY88" s="56"/>
      <c r="BZ88" s="56"/>
      <c r="CA88" s="56"/>
      <c r="CB88" s="56"/>
      <c r="CC88" s="56"/>
      <c r="CD88" s="56"/>
      <c r="CE88" s="56"/>
      <c r="CF88" s="56"/>
      <c r="CG88" s="56"/>
      <c r="CH88" s="56"/>
      <c r="CI88" s="56"/>
      <c r="CJ88" s="56"/>
      <c r="CK88" s="56"/>
      <c r="CL88" s="56"/>
      <c r="CM88" s="56"/>
      <c r="CN88" s="56"/>
      <c r="CO88" s="56"/>
      <c r="CP88" s="56"/>
      <c r="CQ88" s="56"/>
      <c r="CR88" s="56"/>
      <c r="CS88" s="56"/>
      <c r="CT88" s="56"/>
      <c r="CU88" s="56"/>
      <c r="CV88" s="56"/>
    </row>
    <row r="89" spans="1:100" ht="15" customHeight="1" x14ac:dyDescent="0.35">
      <c r="A89" s="56"/>
      <c r="B89" s="300"/>
      <c r="C89" s="300"/>
      <c r="D89" s="301"/>
      <c r="E89" s="524"/>
      <c r="F89" s="525"/>
      <c r="G89" s="525"/>
      <c r="H89" s="525"/>
      <c r="I89" s="530"/>
      <c r="J89" s="452"/>
      <c r="K89" s="453"/>
      <c r="L89" s="453"/>
      <c r="M89" s="453"/>
      <c r="N89" s="453"/>
      <c r="O89" s="453"/>
      <c r="P89" s="453"/>
      <c r="Q89" s="453"/>
      <c r="R89" s="453"/>
      <c r="S89" s="454"/>
      <c r="T89" s="452"/>
      <c r="U89" s="453"/>
      <c r="V89" s="453"/>
      <c r="W89" s="453"/>
      <c r="X89" s="453"/>
      <c r="Y89" s="453"/>
      <c r="Z89" s="453"/>
      <c r="AA89" s="453"/>
      <c r="AB89" s="453"/>
      <c r="AC89" s="454"/>
      <c r="AD89" s="460"/>
      <c r="AE89" s="458"/>
      <c r="AF89" s="458"/>
      <c r="AG89" s="458"/>
      <c r="AH89" s="458"/>
      <c r="AI89" s="458"/>
      <c r="AJ89" s="458"/>
      <c r="AK89" s="458"/>
      <c r="AL89" s="458"/>
      <c r="AM89" s="459"/>
      <c r="AN89" s="463"/>
      <c r="AO89" s="461"/>
      <c r="AP89" s="461"/>
      <c r="AQ89" s="461"/>
      <c r="AR89" s="461"/>
      <c r="AS89" s="461"/>
      <c r="AT89" s="461"/>
      <c r="AU89" s="461"/>
      <c r="AV89" s="461"/>
      <c r="AW89" s="462"/>
      <c r="AX89" s="457"/>
      <c r="AY89" s="455"/>
      <c r="AZ89" s="455"/>
      <c r="BA89" s="455"/>
      <c r="BB89" s="455"/>
      <c r="BC89" s="455"/>
      <c r="BD89" s="455"/>
      <c r="BE89" s="455"/>
      <c r="BF89" s="455"/>
      <c r="BG89" s="456"/>
      <c r="BH89" s="56"/>
      <c r="BI89" s="516"/>
      <c r="BJ89" s="517"/>
      <c r="BK89" s="517"/>
      <c r="BL89" s="517"/>
      <c r="BM89" s="517"/>
      <c r="BN89" s="518"/>
      <c r="BO89" s="56"/>
      <c r="BP89" s="56"/>
      <c r="BQ89" s="56"/>
      <c r="BR89" s="56"/>
      <c r="BS89" s="56"/>
      <c r="BT89" s="56"/>
      <c r="BU89" s="56"/>
      <c r="BV89" s="56"/>
      <c r="BW89" s="56"/>
      <c r="BX89" s="56"/>
      <c r="BY89" s="56"/>
      <c r="BZ89" s="56"/>
      <c r="CA89" s="56"/>
      <c r="CB89" s="56"/>
      <c r="CC89" s="56"/>
      <c r="CD89" s="56"/>
      <c r="CE89" s="56"/>
      <c r="CF89" s="56"/>
      <c r="CG89" s="56"/>
      <c r="CH89" s="56"/>
      <c r="CI89" s="56"/>
      <c r="CJ89" s="56"/>
      <c r="CK89" s="56"/>
      <c r="CL89" s="56"/>
      <c r="CM89" s="56"/>
      <c r="CN89" s="56"/>
      <c r="CO89" s="56"/>
      <c r="CP89" s="56"/>
      <c r="CQ89" s="56"/>
      <c r="CR89" s="56"/>
      <c r="CS89" s="56"/>
      <c r="CT89" s="56"/>
      <c r="CU89" s="56"/>
      <c r="CV89" s="56"/>
    </row>
    <row r="90" spans="1:100" ht="15" customHeight="1" x14ac:dyDescent="0.35">
      <c r="A90" s="56"/>
      <c r="B90" s="300"/>
      <c r="C90" s="300"/>
      <c r="D90" s="301"/>
      <c r="E90" s="524"/>
      <c r="F90" s="525"/>
      <c r="G90" s="525"/>
      <c r="H90" s="525"/>
      <c r="I90" s="530"/>
      <c r="J90" s="452" t="str">
        <f>IF(AND('Mapa final'!$K$34="Muy Baja",'Mapa final'!$O$34="Leve"),CONCATENATE("R",'Mapa final'!$A$34),"")</f>
        <v/>
      </c>
      <c r="K90" s="453"/>
      <c r="L90" s="453" t="str">
        <f>IF(AND('Mapa final'!$K$37="Muy Baja",'Mapa final'!$O$37="Leve"),CONCATENATE("R",'Mapa final'!$A$37),"")</f>
        <v/>
      </c>
      <c r="M90" s="453"/>
      <c r="N90" s="453" t="str">
        <f>IF(AND('Mapa final'!$K$40="Muy Baja",'Mapa final'!$O$40="Leve"),CONCATENATE("R",'Mapa final'!$A$40),"")</f>
        <v/>
      </c>
      <c r="O90" s="453"/>
      <c r="P90" s="453" t="str">
        <f>IF(AND('Mapa final'!$K$43="Muy Baja",'Mapa final'!$O$43="Leve"),CONCATENATE("R",'Mapa final'!$A$43),"")</f>
        <v/>
      </c>
      <c r="Q90" s="453"/>
      <c r="R90" s="453" t="str">
        <f>IF(AND('Mapa final'!$K$46="Muy Baja",'Mapa final'!$O$46="Leve"),CONCATENATE("R",'Mapa final'!$A$46),"")</f>
        <v/>
      </c>
      <c r="S90" s="454"/>
      <c r="T90" s="452" t="str">
        <f>IF(AND('Mapa final'!$K$34="Muy Baja",'Mapa final'!$O$34="Menor"),CONCATENATE("R",'Mapa final'!$A$34),"")</f>
        <v/>
      </c>
      <c r="U90" s="453"/>
      <c r="V90" s="453" t="str">
        <f>IF(AND('Mapa final'!$K$37="Muy Baja",'Mapa final'!$O$37="Menor"),CONCATENATE("R",'Mapa final'!$A$37),"")</f>
        <v/>
      </c>
      <c r="W90" s="453"/>
      <c r="X90" s="453" t="str">
        <f>IF(AND('Mapa final'!$K$40="Muy Baja",'Mapa final'!$O$40="Menor"),CONCATENATE("R",'Mapa final'!$A$40),"")</f>
        <v/>
      </c>
      <c r="Y90" s="453"/>
      <c r="Z90" s="453" t="str">
        <f>IF(AND('Mapa final'!$K$43="Muy Baja",'Mapa final'!$O$43="Menor"),CONCATENATE("R",'Mapa final'!$A$43),"")</f>
        <v/>
      </c>
      <c r="AA90" s="453"/>
      <c r="AB90" s="453" t="str">
        <f>IF(AND('Mapa final'!$K$46="Muy Baja",'Mapa final'!$O$46="Menor"),CONCATENATE("R",'Mapa final'!$A$46),"")</f>
        <v/>
      </c>
      <c r="AC90" s="454"/>
      <c r="AD90" s="460" t="str">
        <f>IF(AND('Mapa final'!$K$34="Muy Baja",'Mapa final'!$O$34="Moderado"),CONCATENATE("R",'Mapa final'!$A$34),"")</f>
        <v/>
      </c>
      <c r="AE90" s="458"/>
      <c r="AF90" s="458" t="str">
        <f>IF(AND('Mapa final'!$K$37="Muy Baja",'Mapa final'!$O$37="Moderado"),CONCATENATE("R",'Mapa final'!$A$37),"")</f>
        <v/>
      </c>
      <c r="AG90" s="458"/>
      <c r="AH90" s="458" t="str">
        <f>IF(AND('Mapa final'!$K$40="Muy Baja",'Mapa final'!$O$40="Moderado"),CONCATENATE("R",'Mapa final'!$A$40),"")</f>
        <v>R12</v>
      </c>
      <c r="AI90" s="458"/>
      <c r="AJ90" s="458" t="str">
        <f>IF(AND('Mapa final'!$K$43="Muy Baja",'Mapa final'!$O$43="Moderado"),CONCATENATE("R",'Mapa final'!$A$43),"")</f>
        <v/>
      </c>
      <c r="AK90" s="458"/>
      <c r="AL90" s="458" t="str">
        <f>IF(AND('Mapa final'!$K$46="Muy Baja",'Mapa final'!$O$46="Moderado"),CONCATENATE("R",'Mapa final'!$A$46),"")</f>
        <v/>
      </c>
      <c r="AM90" s="459"/>
      <c r="AN90" s="463" t="str">
        <f>IF(AND('Mapa final'!$K$34="Muy Baja",'Mapa final'!$O$34="Mayor"),CONCATENATE("R",'Mapa final'!$A$34),"")</f>
        <v/>
      </c>
      <c r="AO90" s="461"/>
      <c r="AP90" s="461" t="str">
        <f>IF(AND('Mapa final'!$K$37="Muy Baja",'Mapa final'!$O$37="Mayor"),CONCATENATE("R",'Mapa final'!$A$37),"")</f>
        <v/>
      </c>
      <c r="AQ90" s="461"/>
      <c r="AR90" s="461" t="str">
        <f>IF(AND('Mapa final'!$K$40="Muy Baja",'Mapa final'!$O$40="Mayor"),CONCATENATE("R",'Mapa final'!$A$40),"")</f>
        <v/>
      </c>
      <c r="AS90" s="461"/>
      <c r="AT90" s="461" t="str">
        <f>IF(AND('Mapa final'!$K$43="Muy Baja",'Mapa final'!$O$43="Mayor"),CONCATENATE("R",'Mapa final'!$A$43),"")</f>
        <v/>
      </c>
      <c r="AU90" s="461"/>
      <c r="AV90" s="461" t="str">
        <f>IF(AND('Mapa final'!$K$46="Muy Baja",'Mapa final'!$O$46="Mayor"),CONCATENATE("R",'Mapa final'!$A$46),"")</f>
        <v/>
      </c>
      <c r="AW90" s="462"/>
      <c r="AX90" s="457" t="str">
        <f>IF(AND('Mapa final'!$K$34="Muy Baja",'Mapa final'!$O$34="Catastrófico"),CONCATENATE("R",'Mapa final'!$A$34),"")</f>
        <v/>
      </c>
      <c r="AY90" s="455"/>
      <c r="AZ90" s="455" t="str">
        <f>IF(AND('Mapa final'!$K$37="Muy Baja",'Mapa final'!$O$37="Catastrófico"),CONCATENATE("R",'Mapa final'!$A$37),"")</f>
        <v/>
      </c>
      <c r="BA90" s="455"/>
      <c r="BB90" s="455" t="str">
        <f>IF(AND('Mapa final'!$K$40="Muy Baja",'Mapa final'!$O$40="Catastrófico"),CONCATENATE("R",'Mapa final'!$A$40),"")</f>
        <v/>
      </c>
      <c r="BC90" s="455"/>
      <c r="BD90" s="455" t="str">
        <f>IF(AND('Mapa final'!$K$43="Muy Baja",'Mapa final'!$O$43="Catastrófico"),CONCATENATE("R",'Mapa final'!$A$43),"")</f>
        <v/>
      </c>
      <c r="BE90" s="455"/>
      <c r="BF90" s="455" t="str">
        <f>IF(AND('Mapa final'!$K$46="Muy Baja",'Mapa final'!$O$46="Catastrófico"),CONCATENATE("R",'Mapa final'!$A$46),"")</f>
        <v/>
      </c>
      <c r="BG90" s="456"/>
      <c r="BH90" s="56"/>
      <c r="BI90" s="516"/>
      <c r="BJ90" s="517"/>
      <c r="BK90" s="517"/>
      <c r="BL90" s="517"/>
      <c r="BM90" s="517"/>
      <c r="BN90" s="518"/>
      <c r="BO90" s="56"/>
      <c r="BP90" s="56"/>
      <c r="BQ90" s="56"/>
      <c r="BR90" s="56"/>
      <c r="BS90" s="56"/>
      <c r="BT90" s="56"/>
      <c r="BU90" s="56"/>
      <c r="BV90" s="56"/>
      <c r="BW90" s="56"/>
      <c r="BX90" s="56"/>
      <c r="BY90" s="56"/>
      <c r="BZ90" s="56"/>
      <c r="CA90" s="56"/>
      <c r="CB90" s="56"/>
      <c r="CC90" s="56"/>
      <c r="CD90" s="56"/>
      <c r="CE90" s="56"/>
      <c r="CF90" s="56"/>
      <c r="CG90" s="56"/>
      <c r="CH90" s="56"/>
      <c r="CI90" s="56"/>
      <c r="CJ90" s="56"/>
      <c r="CK90" s="56"/>
      <c r="CL90" s="56"/>
      <c r="CM90" s="56"/>
      <c r="CN90" s="56"/>
      <c r="CO90" s="56"/>
      <c r="CP90" s="56"/>
      <c r="CQ90" s="56"/>
      <c r="CR90" s="56"/>
      <c r="CS90" s="56"/>
      <c r="CT90" s="56"/>
      <c r="CU90" s="56"/>
      <c r="CV90" s="56"/>
    </row>
    <row r="91" spans="1:100" ht="15" customHeight="1" x14ac:dyDescent="0.35">
      <c r="A91" s="56"/>
      <c r="B91" s="300"/>
      <c r="C91" s="300"/>
      <c r="D91" s="301"/>
      <c r="E91" s="524"/>
      <c r="F91" s="525"/>
      <c r="G91" s="525"/>
      <c r="H91" s="525"/>
      <c r="I91" s="530"/>
      <c r="J91" s="452"/>
      <c r="K91" s="453"/>
      <c r="L91" s="453"/>
      <c r="M91" s="453"/>
      <c r="N91" s="453"/>
      <c r="O91" s="453"/>
      <c r="P91" s="453"/>
      <c r="Q91" s="453"/>
      <c r="R91" s="453"/>
      <c r="S91" s="454"/>
      <c r="T91" s="452"/>
      <c r="U91" s="453"/>
      <c r="V91" s="453"/>
      <c r="W91" s="453"/>
      <c r="X91" s="453"/>
      <c r="Y91" s="453"/>
      <c r="Z91" s="453"/>
      <c r="AA91" s="453"/>
      <c r="AB91" s="453"/>
      <c r="AC91" s="454"/>
      <c r="AD91" s="460"/>
      <c r="AE91" s="458"/>
      <c r="AF91" s="458"/>
      <c r="AG91" s="458"/>
      <c r="AH91" s="458"/>
      <c r="AI91" s="458"/>
      <c r="AJ91" s="458"/>
      <c r="AK91" s="458"/>
      <c r="AL91" s="458"/>
      <c r="AM91" s="459"/>
      <c r="AN91" s="463"/>
      <c r="AO91" s="461"/>
      <c r="AP91" s="461"/>
      <c r="AQ91" s="461"/>
      <c r="AR91" s="461"/>
      <c r="AS91" s="461"/>
      <c r="AT91" s="461"/>
      <c r="AU91" s="461"/>
      <c r="AV91" s="461"/>
      <c r="AW91" s="462"/>
      <c r="AX91" s="457"/>
      <c r="AY91" s="455"/>
      <c r="AZ91" s="455"/>
      <c r="BA91" s="455"/>
      <c r="BB91" s="455"/>
      <c r="BC91" s="455"/>
      <c r="BD91" s="455"/>
      <c r="BE91" s="455"/>
      <c r="BF91" s="455"/>
      <c r="BG91" s="456"/>
      <c r="BH91" s="56"/>
      <c r="BI91" s="516"/>
      <c r="BJ91" s="517"/>
      <c r="BK91" s="517"/>
      <c r="BL91" s="517"/>
      <c r="BM91" s="517"/>
      <c r="BN91" s="518"/>
      <c r="BO91" s="56"/>
      <c r="BP91" s="56"/>
      <c r="BQ91" s="56"/>
      <c r="BR91" s="56"/>
      <c r="BS91" s="56"/>
      <c r="BT91" s="56"/>
      <c r="BU91" s="56"/>
      <c r="BV91" s="56"/>
      <c r="BW91" s="56"/>
      <c r="BX91" s="56"/>
      <c r="BY91" s="56"/>
      <c r="BZ91" s="56"/>
      <c r="CA91" s="56"/>
      <c r="CB91" s="56"/>
      <c r="CC91" s="56"/>
      <c r="CD91" s="56"/>
      <c r="CE91" s="56"/>
      <c r="CF91" s="56"/>
      <c r="CG91" s="56"/>
      <c r="CH91" s="56"/>
      <c r="CI91" s="56"/>
      <c r="CJ91" s="56"/>
      <c r="CK91" s="56"/>
      <c r="CL91" s="56"/>
      <c r="CM91" s="56"/>
      <c r="CN91" s="56"/>
      <c r="CO91" s="56"/>
      <c r="CP91" s="56"/>
      <c r="CQ91" s="56"/>
      <c r="CR91" s="56"/>
      <c r="CS91" s="56"/>
      <c r="CT91" s="56"/>
      <c r="CU91" s="56"/>
      <c r="CV91" s="56"/>
    </row>
    <row r="92" spans="1:100" ht="15" customHeight="1" x14ac:dyDescent="0.35">
      <c r="A92" s="56"/>
      <c r="B92" s="300"/>
      <c r="C92" s="300"/>
      <c r="D92" s="301"/>
      <c r="E92" s="524"/>
      <c r="F92" s="525"/>
      <c r="G92" s="525"/>
      <c r="H92" s="525"/>
      <c r="I92" s="530"/>
      <c r="J92" s="452" t="str">
        <f>IF(AND('Mapa final'!$K$49="Muy Baja",'Mapa final'!$O$49="Leve"),CONCATENATE("R",'Mapa final'!$A$49),"")</f>
        <v/>
      </c>
      <c r="K92" s="453"/>
      <c r="L92" s="453" t="str">
        <f>IF(AND('Mapa final'!$K$52="Muy Baja",'Mapa final'!$O$52="Leve"),CONCATENATE("R",'Mapa final'!$A$52),"")</f>
        <v/>
      </c>
      <c r="M92" s="453"/>
      <c r="N92" s="453" t="str">
        <f>IF(AND('Mapa final'!$K$55="Muy Baja",'Mapa final'!$O$55="Leve"),CONCATENATE("R",'Mapa final'!$A$55),"")</f>
        <v/>
      </c>
      <c r="O92" s="453"/>
      <c r="P92" s="453" t="str">
        <f>IF(AND('Mapa final'!$K$58="Muy Baja",'Mapa final'!$O$58="Leve"),CONCATENATE("R",'Mapa final'!$A$58),"")</f>
        <v/>
      </c>
      <c r="Q92" s="453"/>
      <c r="R92" s="453" t="str">
        <f>IF(AND('Mapa final'!$K$61="Muy Baja",'Mapa final'!$O$61="Leve"),CONCATENATE("R",'Mapa final'!$A$61),"")</f>
        <v/>
      </c>
      <c r="S92" s="454"/>
      <c r="T92" s="452" t="str">
        <f>IF(AND('Mapa final'!$K$49="Muy Baja",'Mapa final'!$O$49="Menor"),CONCATENATE("R",'Mapa final'!$A$49),"")</f>
        <v/>
      </c>
      <c r="U92" s="453"/>
      <c r="V92" s="453" t="str">
        <f>IF(AND('Mapa final'!$K$52="Muy Baja",'Mapa final'!$O$52="Menor"),CONCATENATE("R",'Mapa final'!$A$52),"")</f>
        <v/>
      </c>
      <c r="W92" s="453"/>
      <c r="X92" s="453" t="str">
        <f>IF(AND('Mapa final'!$K$55="Muy Baja",'Mapa final'!$O$55="Menor"),CONCATENATE("R",'Mapa final'!$A$55),"")</f>
        <v/>
      </c>
      <c r="Y92" s="453"/>
      <c r="Z92" s="453" t="str">
        <f>IF(AND('Mapa final'!$K$58="Muy Baja",'Mapa final'!$O$58="Menor"),CONCATENATE("R",'Mapa final'!$A$58),"")</f>
        <v/>
      </c>
      <c r="AA92" s="453"/>
      <c r="AB92" s="453" t="str">
        <f>IF(AND('Mapa final'!$K$61="Muy Baja",'Mapa final'!$O$61="Menor"),CONCATENATE("R",'Mapa final'!$A$61),"")</f>
        <v/>
      </c>
      <c r="AC92" s="454"/>
      <c r="AD92" s="460" t="str">
        <f>IF(AND('Mapa final'!$K$49="Muy Baja",'Mapa final'!$O$49="Moderado"),CONCATENATE("R",'Mapa final'!$A$49),"")</f>
        <v/>
      </c>
      <c r="AE92" s="458"/>
      <c r="AF92" s="458" t="str">
        <f>IF(AND('Mapa final'!$K$52="Muy Baja",'Mapa final'!$O$52="Moderado"),CONCATENATE("R",'Mapa final'!$A$52),"")</f>
        <v/>
      </c>
      <c r="AG92" s="458"/>
      <c r="AH92" s="458" t="str">
        <f>IF(AND('Mapa final'!$K$55="Muy Baja",'Mapa final'!$O$55="Moderado"),CONCATENATE("R",'Mapa final'!$A$55),"")</f>
        <v/>
      </c>
      <c r="AI92" s="458"/>
      <c r="AJ92" s="458" t="str">
        <f>IF(AND('Mapa final'!$K$58="Muy Baja",'Mapa final'!$O$58="Moderado"),CONCATENATE("R",'Mapa final'!$A$58),"")</f>
        <v/>
      </c>
      <c r="AK92" s="458"/>
      <c r="AL92" s="458" t="str">
        <f>IF(AND('Mapa final'!$K$61="Muy Baja",'Mapa final'!$O$61="Moderado"),CONCATENATE("R",'Mapa final'!$A$61),"")</f>
        <v/>
      </c>
      <c r="AM92" s="459"/>
      <c r="AN92" s="463" t="str">
        <f>IF(AND('Mapa final'!$K$49="Muy Baja",'Mapa final'!$O$49="Mayor"),CONCATENATE("R",'Mapa final'!$A$49),"")</f>
        <v/>
      </c>
      <c r="AO92" s="461"/>
      <c r="AP92" s="461" t="str">
        <f>IF(AND('Mapa final'!$K$52="Muy Baja",'Mapa final'!$O$52="Mayor"),CONCATENATE("R",'Mapa final'!$A$52),"")</f>
        <v/>
      </c>
      <c r="AQ92" s="461"/>
      <c r="AR92" s="461" t="str">
        <f>IF(AND('Mapa final'!$K$55="Muy Baja",'Mapa final'!$O$55="Mayor"),CONCATENATE("R",'Mapa final'!$A$55),"")</f>
        <v/>
      </c>
      <c r="AS92" s="461"/>
      <c r="AT92" s="461" t="str">
        <f>IF(AND('Mapa final'!$K$58="Muy Baja",'Mapa final'!$O$58="Mayor"),CONCATENATE("R",'Mapa final'!$A$58),"")</f>
        <v/>
      </c>
      <c r="AU92" s="461"/>
      <c r="AV92" s="461" t="str">
        <f>IF(AND('Mapa final'!$K$61="Muy Baja",'Mapa final'!$O$61="Mayor"),CONCATENATE("R",'Mapa final'!$A$61),"")</f>
        <v/>
      </c>
      <c r="AW92" s="462"/>
      <c r="AX92" s="457" t="str">
        <f>IF(AND('Mapa final'!$K$49="Muy Baja",'Mapa final'!$O$49="Catastrófico"),CONCATENATE("R",'Mapa final'!$A$49),"")</f>
        <v/>
      </c>
      <c r="AY92" s="455"/>
      <c r="AZ92" s="455" t="str">
        <f>IF(AND('Mapa final'!$K$52="Muy Baja",'Mapa final'!$O$52="Catastrófico"),CONCATENATE("R",'Mapa final'!$A$52),"")</f>
        <v/>
      </c>
      <c r="BA92" s="455"/>
      <c r="BB92" s="455" t="str">
        <f>IF(AND('Mapa final'!$K$55="Muy Baja",'Mapa final'!$O$55="Catastrófico"),CONCATENATE("R",'Mapa final'!$A$55),"")</f>
        <v/>
      </c>
      <c r="BC92" s="455"/>
      <c r="BD92" s="455" t="str">
        <f>IF(AND('Mapa final'!$K$58="Muy Baja",'Mapa final'!$O$58="Catastrófico"),CONCATENATE("R",'Mapa final'!$A$58),"")</f>
        <v/>
      </c>
      <c r="BE92" s="455"/>
      <c r="BF92" s="455" t="str">
        <f>IF(AND('Mapa final'!$K$61="Muy Baja",'Mapa final'!$O$61="Catastrófico"),CONCATENATE("R",'Mapa final'!$A$61),"")</f>
        <v/>
      </c>
      <c r="BG92" s="456"/>
      <c r="BH92" s="56"/>
      <c r="BI92" s="516"/>
      <c r="BJ92" s="517"/>
      <c r="BK92" s="517"/>
      <c r="BL92" s="517"/>
      <c r="BM92" s="517"/>
      <c r="BN92" s="518"/>
      <c r="BO92" s="56"/>
      <c r="BP92" s="56"/>
      <c r="BQ92" s="56"/>
      <c r="BR92" s="56"/>
      <c r="BS92" s="56"/>
      <c r="BT92" s="56"/>
      <c r="BU92" s="56"/>
      <c r="BV92" s="56"/>
      <c r="BW92" s="56"/>
      <c r="BX92" s="56"/>
      <c r="BY92" s="56"/>
      <c r="BZ92" s="56"/>
      <c r="CA92" s="56"/>
      <c r="CB92" s="56"/>
      <c r="CC92" s="56"/>
      <c r="CD92" s="56"/>
      <c r="CE92" s="56"/>
      <c r="CF92" s="56"/>
      <c r="CG92" s="56"/>
      <c r="CH92" s="56"/>
      <c r="CI92" s="56"/>
      <c r="CJ92" s="56"/>
      <c r="CK92" s="56"/>
      <c r="CL92" s="56"/>
      <c r="CM92" s="56"/>
      <c r="CN92" s="56"/>
      <c r="CO92" s="56"/>
      <c r="CP92" s="56"/>
      <c r="CQ92" s="56"/>
      <c r="CR92" s="56"/>
      <c r="CS92" s="56"/>
      <c r="CT92" s="56"/>
      <c r="CU92" s="56"/>
      <c r="CV92" s="56"/>
    </row>
    <row r="93" spans="1:100" ht="15" customHeight="1" x14ac:dyDescent="0.35">
      <c r="A93" s="56"/>
      <c r="B93" s="300"/>
      <c r="C93" s="300"/>
      <c r="D93" s="301"/>
      <c r="E93" s="524"/>
      <c r="F93" s="525"/>
      <c r="G93" s="525"/>
      <c r="H93" s="525"/>
      <c r="I93" s="530"/>
      <c r="J93" s="452"/>
      <c r="K93" s="453"/>
      <c r="L93" s="453"/>
      <c r="M93" s="453"/>
      <c r="N93" s="453"/>
      <c r="O93" s="453"/>
      <c r="P93" s="453"/>
      <c r="Q93" s="453"/>
      <c r="R93" s="453"/>
      <c r="S93" s="454"/>
      <c r="T93" s="452"/>
      <c r="U93" s="453"/>
      <c r="V93" s="453"/>
      <c r="W93" s="453"/>
      <c r="X93" s="453"/>
      <c r="Y93" s="453"/>
      <c r="Z93" s="453"/>
      <c r="AA93" s="453"/>
      <c r="AB93" s="453"/>
      <c r="AC93" s="454"/>
      <c r="AD93" s="460"/>
      <c r="AE93" s="458"/>
      <c r="AF93" s="458"/>
      <c r="AG93" s="458"/>
      <c r="AH93" s="458"/>
      <c r="AI93" s="458"/>
      <c r="AJ93" s="458"/>
      <c r="AK93" s="458"/>
      <c r="AL93" s="458"/>
      <c r="AM93" s="459"/>
      <c r="AN93" s="463"/>
      <c r="AO93" s="461"/>
      <c r="AP93" s="461"/>
      <c r="AQ93" s="461"/>
      <c r="AR93" s="461"/>
      <c r="AS93" s="461"/>
      <c r="AT93" s="461"/>
      <c r="AU93" s="461"/>
      <c r="AV93" s="461"/>
      <c r="AW93" s="462"/>
      <c r="AX93" s="457"/>
      <c r="AY93" s="455"/>
      <c r="AZ93" s="455"/>
      <c r="BA93" s="455"/>
      <c r="BB93" s="455"/>
      <c r="BC93" s="455"/>
      <c r="BD93" s="455"/>
      <c r="BE93" s="455"/>
      <c r="BF93" s="455"/>
      <c r="BG93" s="456"/>
      <c r="BH93" s="56"/>
      <c r="BI93" s="516"/>
      <c r="BJ93" s="517"/>
      <c r="BK93" s="517"/>
      <c r="BL93" s="517"/>
      <c r="BM93" s="517"/>
      <c r="BN93" s="518"/>
      <c r="BO93" s="56"/>
      <c r="BP93" s="56"/>
      <c r="BQ93" s="56"/>
      <c r="BR93" s="56"/>
      <c r="BS93" s="56"/>
      <c r="BT93" s="56"/>
      <c r="BU93" s="56"/>
      <c r="BV93" s="56"/>
      <c r="BW93" s="56"/>
      <c r="BX93" s="56"/>
      <c r="BY93" s="56"/>
      <c r="BZ93" s="56"/>
      <c r="CA93" s="56"/>
      <c r="CB93" s="56"/>
      <c r="CC93" s="56"/>
      <c r="CD93" s="56"/>
      <c r="CE93" s="56"/>
      <c r="CF93" s="56"/>
      <c r="CG93" s="56"/>
      <c r="CH93" s="56"/>
      <c r="CI93" s="56"/>
      <c r="CJ93" s="56"/>
      <c r="CK93" s="56"/>
      <c r="CL93" s="56"/>
      <c r="CM93" s="56"/>
      <c r="CN93" s="56"/>
      <c r="CO93" s="56"/>
      <c r="CP93" s="56"/>
      <c r="CQ93" s="56"/>
      <c r="CR93" s="56"/>
      <c r="CS93" s="56"/>
      <c r="CT93" s="56"/>
      <c r="CU93" s="56"/>
      <c r="CV93" s="56"/>
    </row>
    <row r="94" spans="1:100" ht="15" customHeight="1" x14ac:dyDescent="0.35">
      <c r="A94" s="56"/>
      <c r="B94" s="300"/>
      <c r="C94" s="300"/>
      <c r="D94" s="301"/>
      <c r="E94" s="524"/>
      <c r="F94" s="525"/>
      <c r="G94" s="525"/>
      <c r="H94" s="525"/>
      <c r="I94" s="530"/>
      <c r="J94" s="452" t="str">
        <f>IF(AND('Mapa final'!$K$64="Muy Baja",'Mapa final'!$O$64="Leve"),CONCATENATE("R",'Mapa final'!$A$64),"")</f>
        <v/>
      </c>
      <c r="K94" s="453"/>
      <c r="L94" s="453" t="str">
        <f>IF(AND('Mapa final'!$K$67="Muy Baja",'Mapa final'!$O$67="Leve"),CONCATENATE("R",'Mapa final'!$A$67),"")</f>
        <v/>
      </c>
      <c r="M94" s="453"/>
      <c r="N94" s="453" t="str">
        <f>IF(AND('Mapa final'!$K$73="Muy Baja",'Mapa final'!$O$73="Leve"),CONCATENATE("R",'Mapa final'!$A$73),"")</f>
        <v/>
      </c>
      <c r="O94" s="453"/>
      <c r="P94" s="453" t="str">
        <f>IF(AND('Mapa final'!$K$76="Muy Baja",'Mapa final'!$O$76="Leve"),CONCATENATE("R",'Mapa final'!$A$76),"")</f>
        <v/>
      </c>
      <c r="Q94" s="453"/>
      <c r="R94" s="453" t="str">
        <f>IF(AND('Mapa final'!$K$79="Muy Baja",'Mapa final'!$O$79="Leve"),CONCATENATE("R",'Mapa final'!$A$79),"")</f>
        <v/>
      </c>
      <c r="S94" s="454"/>
      <c r="T94" s="452" t="str">
        <f>IF(AND('Mapa final'!$K$64="Muy Baja",'Mapa final'!$O$64="Menor"),CONCATENATE("R",'Mapa final'!$A$64),"")</f>
        <v/>
      </c>
      <c r="U94" s="453"/>
      <c r="V94" s="453" t="str">
        <f>IF(AND('Mapa final'!$K$67="Muy Baja",'Mapa final'!$O$67="Menor"),CONCATENATE("R",'Mapa final'!$A$67),"")</f>
        <v/>
      </c>
      <c r="W94" s="453"/>
      <c r="X94" s="453" t="str">
        <f>IF(AND('Mapa final'!$K$73="Muy Baja",'Mapa final'!$O$73="Menor"),CONCATENATE("R",'Mapa final'!$A$73),"")</f>
        <v/>
      </c>
      <c r="Y94" s="453"/>
      <c r="Z94" s="453" t="str">
        <f>IF(AND('Mapa final'!$K$76="Muy Baja",'Mapa final'!$O$76="Menor"),CONCATENATE("R",'Mapa final'!$A$76),"")</f>
        <v/>
      </c>
      <c r="AA94" s="453"/>
      <c r="AB94" s="453" t="str">
        <f>IF(AND('Mapa final'!$K$79="Muy Baja",'Mapa final'!$O$79="Menor"),CONCATENATE("R",'Mapa final'!$A$79),"")</f>
        <v/>
      </c>
      <c r="AC94" s="454"/>
      <c r="AD94" s="460" t="str">
        <f>IF(AND('Mapa final'!$K$64="Muy Baja",'Mapa final'!$O$64="Moderado"),CONCATENATE("R",'Mapa final'!$A$64),"")</f>
        <v/>
      </c>
      <c r="AE94" s="458"/>
      <c r="AF94" s="458" t="str">
        <f>IF(AND('Mapa final'!$K$67="Muy Baja",'Mapa final'!$O$67="Moderado"),CONCATENATE("R",'Mapa final'!$A$67),"")</f>
        <v/>
      </c>
      <c r="AG94" s="458"/>
      <c r="AH94" s="458" t="str">
        <f>IF(AND('Mapa final'!$K$73="Muy Baja",'Mapa final'!$O$73="Moderado"),CONCATENATE("R",'Mapa final'!$A$73),"")</f>
        <v/>
      </c>
      <c r="AI94" s="458"/>
      <c r="AJ94" s="458" t="str">
        <f>IF(AND('Mapa final'!$K$76="Muy Baja",'Mapa final'!$O$76="Moderado"),CONCATENATE("R",'Mapa final'!$A$76),"")</f>
        <v/>
      </c>
      <c r="AK94" s="458"/>
      <c r="AL94" s="458" t="str">
        <f>IF(AND('Mapa final'!$K$79="Muy Baja",'Mapa final'!$O$79="Moderado"),CONCATENATE("R",'Mapa final'!$A$79),"")</f>
        <v/>
      </c>
      <c r="AM94" s="459"/>
      <c r="AN94" s="463" t="str">
        <f>IF(AND('Mapa final'!$K$64="Muy Baja",'Mapa final'!$O$64="Mayor"),CONCATENATE("R",'Mapa final'!$A$64),"")</f>
        <v/>
      </c>
      <c r="AO94" s="461"/>
      <c r="AP94" s="461" t="str">
        <f>IF(AND('Mapa final'!$K$67="Muy Baja",'Mapa final'!$O$67="Mayor"),CONCATENATE("R",'Mapa final'!$A$67),"")</f>
        <v/>
      </c>
      <c r="AQ94" s="461"/>
      <c r="AR94" s="461" t="str">
        <f>IF(AND('Mapa final'!$K$73="Muy Baja",'Mapa final'!$O$73="Mayor"),CONCATENATE("R",'Mapa final'!$A$73),"")</f>
        <v/>
      </c>
      <c r="AS94" s="461"/>
      <c r="AT94" s="461" t="str">
        <f>IF(AND('Mapa final'!$K$76="Muy Baja",'Mapa final'!$O$76="Mayor"),CONCATENATE("R",'Mapa final'!$A$76),"")</f>
        <v/>
      </c>
      <c r="AU94" s="461"/>
      <c r="AV94" s="461" t="str">
        <f>IF(AND('Mapa final'!$K$79="Muy Baja",'Mapa final'!$O$79="Mayor"),CONCATENATE("R",'Mapa final'!$A$79),"")</f>
        <v/>
      </c>
      <c r="AW94" s="462"/>
      <c r="AX94" s="457" t="str">
        <f>IF(AND('Mapa final'!$K$64="Muy Baja",'Mapa final'!$O$64="Catastrófico"),CONCATENATE("R",'Mapa final'!$A$64),"")</f>
        <v/>
      </c>
      <c r="AY94" s="455"/>
      <c r="AZ94" s="455" t="str">
        <f>IF(AND('Mapa final'!$K$67="Muy Baja",'Mapa final'!$O$67="Catastrófico"),CONCATENATE("R",'Mapa final'!$A$67),"")</f>
        <v/>
      </c>
      <c r="BA94" s="455"/>
      <c r="BB94" s="455" t="str">
        <f>IF(AND('Mapa final'!$K$73="Muy Baja",'Mapa final'!$O$73="Catastrófico"),CONCATENATE("R",'Mapa final'!$A$73),"")</f>
        <v/>
      </c>
      <c r="BC94" s="455"/>
      <c r="BD94" s="455" t="str">
        <f>IF(AND('Mapa final'!$K$76="Muy Baja",'Mapa final'!$O$76="Catastrófico"),CONCATENATE("R",'Mapa final'!$A$76),"")</f>
        <v/>
      </c>
      <c r="BE94" s="455"/>
      <c r="BF94" s="455" t="str">
        <f>IF(AND('Mapa final'!$K$79="Muy Baja",'Mapa final'!$O$79="Catastrófico"),CONCATENATE("R",'Mapa final'!$A$79),"")</f>
        <v/>
      </c>
      <c r="BG94" s="456"/>
      <c r="BH94" s="56"/>
      <c r="BI94" s="516"/>
      <c r="BJ94" s="517"/>
      <c r="BK94" s="517"/>
      <c r="BL94" s="517"/>
      <c r="BM94" s="517"/>
      <c r="BN94" s="518"/>
      <c r="BO94" s="56"/>
      <c r="BP94" s="56"/>
      <c r="BQ94" s="56"/>
      <c r="BR94" s="56"/>
      <c r="BS94" s="56"/>
      <c r="BT94" s="56"/>
      <c r="BU94" s="56"/>
      <c r="BV94" s="56"/>
      <c r="BW94" s="56"/>
      <c r="BX94" s="56"/>
      <c r="BY94" s="56"/>
      <c r="BZ94" s="56"/>
      <c r="CA94" s="56"/>
      <c r="CB94" s="56"/>
      <c r="CC94" s="56"/>
      <c r="CD94" s="56"/>
      <c r="CE94" s="56"/>
      <c r="CF94" s="56"/>
      <c r="CG94" s="56"/>
      <c r="CH94" s="56"/>
      <c r="CI94" s="56"/>
      <c r="CJ94" s="56"/>
      <c r="CK94" s="56"/>
      <c r="CL94" s="56"/>
      <c r="CM94" s="56"/>
      <c r="CN94" s="56"/>
      <c r="CO94" s="56"/>
      <c r="CP94" s="56"/>
      <c r="CQ94" s="56"/>
      <c r="CR94" s="56"/>
      <c r="CS94" s="56"/>
      <c r="CT94" s="56"/>
      <c r="CU94" s="56"/>
      <c r="CV94" s="56"/>
    </row>
    <row r="95" spans="1:100" ht="15" customHeight="1" x14ac:dyDescent="0.35">
      <c r="A95" s="56"/>
      <c r="B95" s="300"/>
      <c r="C95" s="300"/>
      <c r="D95" s="301"/>
      <c r="E95" s="524"/>
      <c r="F95" s="525"/>
      <c r="G95" s="525"/>
      <c r="H95" s="525"/>
      <c r="I95" s="530"/>
      <c r="J95" s="452"/>
      <c r="K95" s="453"/>
      <c r="L95" s="453"/>
      <c r="M95" s="453"/>
      <c r="N95" s="453"/>
      <c r="O95" s="453"/>
      <c r="P95" s="453"/>
      <c r="Q95" s="453"/>
      <c r="R95" s="453"/>
      <c r="S95" s="454"/>
      <c r="T95" s="452"/>
      <c r="U95" s="453"/>
      <c r="V95" s="453"/>
      <c r="W95" s="453"/>
      <c r="X95" s="453"/>
      <c r="Y95" s="453"/>
      <c r="Z95" s="453"/>
      <c r="AA95" s="453"/>
      <c r="AB95" s="453"/>
      <c r="AC95" s="454"/>
      <c r="AD95" s="460"/>
      <c r="AE95" s="458"/>
      <c r="AF95" s="458"/>
      <c r="AG95" s="458"/>
      <c r="AH95" s="458"/>
      <c r="AI95" s="458"/>
      <c r="AJ95" s="458"/>
      <c r="AK95" s="458"/>
      <c r="AL95" s="458"/>
      <c r="AM95" s="459"/>
      <c r="AN95" s="463"/>
      <c r="AO95" s="461"/>
      <c r="AP95" s="461"/>
      <c r="AQ95" s="461"/>
      <c r="AR95" s="461"/>
      <c r="AS95" s="461"/>
      <c r="AT95" s="461"/>
      <c r="AU95" s="461"/>
      <c r="AV95" s="461"/>
      <c r="AW95" s="462"/>
      <c r="AX95" s="457"/>
      <c r="AY95" s="455"/>
      <c r="AZ95" s="455"/>
      <c r="BA95" s="455"/>
      <c r="BB95" s="455"/>
      <c r="BC95" s="455"/>
      <c r="BD95" s="455"/>
      <c r="BE95" s="455"/>
      <c r="BF95" s="455"/>
      <c r="BG95" s="456"/>
      <c r="BH95" s="56"/>
      <c r="BI95" s="516"/>
      <c r="BJ95" s="517"/>
      <c r="BK95" s="517"/>
      <c r="BL95" s="517"/>
      <c r="BM95" s="517"/>
      <c r="BN95" s="518"/>
      <c r="BO95" s="56"/>
      <c r="BP95" s="56"/>
      <c r="BQ95" s="56"/>
      <c r="BR95" s="56"/>
      <c r="BS95" s="56"/>
      <c r="BT95" s="56"/>
      <c r="BU95" s="56"/>
      <c r="BV95" s="56"/>
      <c r="BW95" s="56"/>
      <c r="BX95" s="56"/>
      <c r="BY95" s="56"/>
      <c r="BZ95" s="56"/>
      <c r="CA95" s="56"/>
      <c r="CB95" s="56"/>
      <c r="CC95" s="56"/>
      <c r="CD95" s="56"/>
      <c r="CE95" s="56"/>
      <c r="CF95" s="56"/>
      <c r="CG95" s="56"/>
      <c r="CH95" s="56"/>
      <c r="CI95" s="56"/>
      <c r="CJ95" s="56"/>
      <c r="CK95" s="56"/>
      <c r="CL95" s="56"/>
      <c r="CM95" s="56"/>
      <c r="CN95" s="56"/>
      <c r="CO95" s="56"/>
      <c r="CP95" s="56"/>
      <c r="CQ95" s="56"/>
      <c r="CR95" s="56"/>
      <c r="CS95" s="56"/>
      <c r="CT95" s="56"/>
      <c r="CU95" s="56"/>
      <c r="CV95" s="56"/>
    </row>
    <row r="96" spans="1:100" ht="15" customHeight="1" x14ac:dyDescent="0.35">
      <c r="A96" s="56"/>
      <c r="B96" s="300"/>
      <c r="C96" s="300"/>
      <c r="D96" s="301"/>
      <c r="E96" s="524"/>
      <c r="F96" s="525"/>
      <c r="G96" s="525"/>
      <c r="H96" s="525"/>
      <c r="I96" s="530"/>
      <c r="J96" s="452" t="str">
        <f>IF(AND('Mapa final'!$K$82="Muy Baja",'Mapa final'!$O$82="Leve"),CONCATENATE("R",'Mapa final'!$A$82),"")</f>
        <v/>
      </c>
      <c r="K96" s="453"/>
      <c r="L96" s="453" t="str">
        <f>IF(AND('Mapa final'!$K$85="Muy Baja",'Mapa final'!$O$85="Leve"),CONCATENATE("R",'Mapa final'!$A$85),"")</f>
        <v/>
      </c>
      <c r="M96" s="453"/>
      <c r="N96" s="453" t="str">
        <f>IF(AND('Mapa final'!$K$88="Muy Baja",'Mapa final'!$O$88="Leve"),CONCATENATE("R",'Mapa final'!$A$88),"")</f>
        <v/>
      </c>
      <c r="O96" s="453"/>
      <c r="P96" s="453" t="str">
        <f>IF(AND('Mapa final'!$K$91="Muy Baja",'Mapa final'!$O$91="Leve"),CONCATENATE("R",'Mapa final'!$A$91),"")</f>
        <v/>
      </c>
      <c r="Q96" s="453"/>
      <c r="R96" s="453" t="str">
        <f>IF(AND('Mapa final'!$K$94="Muy Baja",'Mapa final'!$O$94="Leve"),CONCATENATE("R",'Mapa final'!$A$94),"")</f>
        <v/>
      </c>
      <c r="S96" s="454"/>
      <c r="T96" s="452" t="str">
        <f>IF(AND('Mapa final'!$K$82="Muy Baja",'Mapa final'!$O$82="Menor"),CONCATENATE("R",'Mapa final'!$A$82),"")</f>
        <v/>
      </c>
      <c r="U96" s="453"/>
      <c r="V96" s="453" t="str">
        <f>IF(AND('Mapa final'!$K$85="Muy Baja",'Mapa final'!$O$85="Menor"),CONCATENATE("R",'Mapa final'!$A$85),"")</f>
        <v/>
      </c>
      <c r="W96" s="453"/>
      <c r="X96" s="453" t="str">
        <f>IF(AND('Mapa final'!$K$88="Muy Baja",'Mapa final'!$O$88="Menor"),CONCATENATE("R",'Mapa final'!$A$88),"")</f>
        <v/>
      </c>
      <c r="Y96" s="453"/>
      <c r="Z96" s="453" t="str">
        <f>IF(AND('Mapa final'!$K$91="Muy Baja",'Mapa final'!$O$91="Menor"),CONCATENATE("R",'Mapa final'!$A$91),"")</f>
        <v/>
      </c>
      <c r="AA96" s="453"/>
      <c r="AB96" s="453" t="str">
        <f>IF(AND('Mapa final'!$K$94="Muy Baja",'Mapa final'!$O$94="Menor"),CONCATENATE("R",'Mapa final'!$A$94),"")</f>
        <v/>
      </c>
      <c r="AC96" s="454"/>
      <c r="AD96" s="460" t="str">
        <f>IF(AND('Mapa final'!$K$82="Muy Baja",'Mapa final'!$O$82="Moderado"),CONCATENATE("R",'Mapa final'!$A$82),"")</f>
        <v>R26</v>
      </c>
      <c r="AE96" s="458"/>
      <c r="AF96" s="458" t="str">
        <f>IF(AND('Mapa final'!$K$85="Muy Baja",'Mapa final'!$O$85="Moderado"),CONCATENATE("R",'Mapa final'!$A$85),"")</f>
        <v/>
      </c>
      <c r="AG96" s="458"/>
      <c r="AH96" s="458" t="str">
        <f>IF(AND('Mapa final'!$K$88="Muy Baja",'Mapa final'!$O$88="Moderado"),CONCATENATE("R",'Mapa final'!$A$88),"")</f>
        <v/>
      </c>
      <c r="AI96" s="458"/>
      <c r="AJ96" s="458" t="str">
        <f>IF(AND('Mapa final'!$K$91="Muy Baja",'Mapa final'!$O$91="Moderado"),CONCATENATE("R",'Mapa final'!$A$91),"")</f>
        <v/>
      </c>
      <c r="AK96" s="458"/>
      <c r="AL96" s="458" t="str">
        <f>IF(AND('Mapa final'!$K$94="Muy Baja",'Mapa final'!$O$94="Moderado"),CONCATENATE("R",'Mapa final'!$A$94),"")</f>
        <v/>
      </c>
      <c r="AM96" s="459"/>
      <c r="AN96" s="463" t="str">
        <f>IF(AND('Mapa final'!$K$82="Muy Baja",'Mapa final'!$O$82="Mayor"),CONCATENATE("R",'Mapa final'!$A$82),"")</f>
        <v/>
      </c>
      <c r="AO96" s="461"/>
      <c r="AP96" s="461" t="str">
        <f>IF(AND('Mapa final'!$K$85="Muy Baja",'Mapa final'!$O$85="Mayor"),CONCATENATE("R",'Mapa final'!$A$85),"")</f>
        <v/>
      </c>
      <c r="AQ96" s="461"/>
      <c r="AR96" s="461" t="str">
        <f>IF(AND('Mapa final'!$K$88="Muy Baja",'Mapa final'!$O$88="Mayor"),CONCATENATE("R",'Mapa final'!$A$88),"")</f>
        <v/>
      </c>
      <c r="AS96" s="461"/>
      <c r="AT96" s="461" t="str">
        <f>IF(AND('Mapa final'!$K$91="Muy Baja",'Mapa final'!$O$91="Mayor"),CONCATENATE("R",'Mapa final'!$A$91),"")</f>
        <v/>
      </c>
      <c r="AU96" s="461"/>
      <c r="AV96" s="461" t="str">
        <f>IF(AND('Mapa final'!$K$94="Muy Baja",'Mapa final'!$O$94="Mayor"),CONCATENATE("R",'Mapa final'!$A$94),"")</f>
        <v/>
      </c>
      <c r="AW96" s="462"/>
      <c r="AX96" s="457" t="str">
        <f>IF(AND('Mapa final'!$K$82="Muy Baja",'Mapa final'!$O$82="Catastrófico"),CONCATENATE("R",'Mapa final'!$A$82),"")</f>
        <v/>
      </c>
      <c r="AY96" s="455"/>
      <c r="AZ96" s="455" t="str">
        <f>IF(AND('Mapa final'!$K$85="Muy Baja",'Mapa final'!$O$85="Catastrófico"),CONCATENATE("R",'Mapa final'!$A$85),"")</f>
        <v/>
      </c>
      <c r="BA96" s="455"/>
      <c r="BB96" s="455" t="str">
        <f>IF(AND('Mapa final'!$K$88="Muy Baja",'Mapa final'!$O$88="Catastrófico"),CONCATENATE("R",'Mapa final'!$A$88),"")</f>
        <v/>
      </c>
      <c r="BC96" s="455"/>
      <c r="BD96" s="455" t="str">
        <f>IF(AND('Mapa final'!$K$91="Muy Baja",'Mapa final'!$O$91="Catastrófico"),CONCATENATE("R",'Mapa final'!$A$91),"")</f>
        <v/>
      </c>
      <c r="BE96" s="455"/>
      <c r="BF96" s="455" t="str">
        <f>IF(AND('Mapa final'!$K$94="Muy Baja",'Mapa final'!$O$94="Catastrófico"),CONCATENATE("R",'Mapa final'!$A$94),"")</f>
        <v/>
      </c>
      <c r="BG96" s="456"/>
      <c r="BH96" s="56"/>
      <c r="BI96" s="516"/>
      <c r="BJ96" s="517"/>
      <c r="BK96" s="517"/>
      <c r="BL96" s="517"/>
      <c r="BM96" s="517"/>
      <c r="BN96" s="518"/>
      <c r="BO96" s="56"/>
      <c r="BP96" s="56"/>
      <c r="BQ96" s="56"/>
      <c r="BR96" s="56"/>
      <c r="BS96" s="56"/>
      <c r="BT96" s="56"/>
      <c r="BU96" s="56"/>
      <c r="BV96" s="56"/>
      <c r="BW96" s="56"/>
      <c r="BX96" s="56"/>
      <c r="BY96" s="56"/>
      <c r="BZ96" s="56"/>
      <c r="CA96" s="56"/>
      <c r="CB96" s="56"/>
      <c r="CC96" s="56"/>
      <c r="CD96" s="56"/>
      <c r="CE96" s="56"/>
      <c r="CF96" s="56"/>
      <c r="CG96" s="56"/>
      <c r="CH96" s="56"/>
      <c r="CI96" s="56"/>
      <c r="CJ96" s="56"/>
      <c r="CK96" s="56"/>
      <c r="CL96" s="56"/>
      <c r="CM96" s="56"/>
      <c r="CN96" s="56"/>
      <c r="CO96" s="56"/>
      <c r="CP96" s="56"/>
      <c r="CQ96" s="56"/>
      <c r="CR96" s="56"/>
      <c r="CS96" s="56"/>
      <c r="CT96" s="56"/>
      <c r="CU96" s="56"/>
      <c r="CV96" s="56"/>
    </row>
    <row r="97" spans="1:100" ht="15" customHeight="1" thickBot="1" x14ac:dyDescent="0.4">
      <c r="A97" s="56"/>
      <c r="B97" s="300"/>
      <c r="C97" s="300"/>
      <c r="D97" s="301"/>
      <c r="E97" s="524"/>
      <c r="F97" s="525"/>
      <c r="G97" s="525"/>
      <c r="H97" s="525"/>
      <c r="I97" s="530"/>
      <c r="J97" s="452"/>
      <c r="K97" s="453"/>
      <c r="L97" s="453"/>
      <c r="M97" s="453"/>
      <c r="N97" s="453"/>
      <c r="O97" s="453"/>
      <c r="P97" s="453"/>
      <c r="Q97" s="453"/>
      <c r="R97" s="453"/>
      <c r="S97" s="454"/>
      <c r="T97" s="452"/>
      <c r="U97" s="453"/>
      <c r="V97" s="453"/>
      <c r="W97" s="453"/>
      <c r="X97" s="453"/>
      <c r="Y97" s="453"/>
      <c r="Z97" s="453"/>
      <c r="AA97" s="453"/>
      <c r="AB97" s="453"/>
      <c r="AC97" s="454"/>
      <c r="AD97" s="460"/>
      <c r="AE97" s="458"/>
      <c r="AF97" s="458"/>
      <c r="AG97" s="458"/>
      <c r="AH97" s="458"/>
      <c r="AI97" s="458"/>
      <c r="AJ97" s="458"/>
      <c r="AK97" s="458"/>
      <c r="AL97" s="458"/>
      <c r="AM97" s="459"/>
      <c r="AN97" s="463"/>
      <c r="AO97" s="461"/>
      <c r="AP97" s="461"/>
      <c r="AQ97" s="461"/>
      <c r="AR97" s="461"/>
      <c r="AS97" s="461"/>
      <c r="AT97" s="461"/>
      <c r="AU97" s="461"/>
      <c r="AV97" s="461"/>
      <c r="AW97" s="462"/>
      <c r="AX97" s="457"/>
      <c r="AY97" s="455"/>
      <c r="AZ97" s="455"/>
      <c r="BA97" s="455"/>
      <c r="BB97" s="455"/>
      <c r="BC97" s="455"/>
      <c r="BD97" s="455"/>
      <c r="BE97" s="455"/>
      <c r="BF97" s="455"/>
      <c r="BG97" s="456"/>
      <c r="BH97" s="56"/>
      <c r="BI97" s="519"/>
      <c r="BJ97" s="520"/>
      <c r="BK97" s="520"/>
      <c r="BL97" s="520"/>
      <c r="BM97" s="520"/>
      <c r="BN97" s="521"/>
      <c r="BO97" s="56"/>
      <c r="BP97" s="56"/>
      <c r="BQ97" s="56"/>
      <c r="BR97" s="56"/>
      <c r="BS97" s="56"/>
      <c r="BT97" s="56"/>
      <c r="BU97" s="56"/>
      <c r="BV97" s="56"/>
      <c r="BW97" s="56"/>
      <c r="BX97" s="56"/>
      <c r="BY97" s="56"/>
      <c r="BZ97" s="56"/>
      <c r="CA97" s="56"/>
      <c r="CB97" s="56"/>
      <c r="CC97" s="56"/>
      <c r="CD97" s="56"/>
      <c r="CE97" s="56"/>
      <c r="CF97" s="56"/>
      <c r="CG97" s="56"/>
      <c r="CH97" s="56"/>
      <c r="CI97" s="56"/>
      <c r="CJ97" s="56"/>
      <c r="CK97" s="56"/>
      <c r="CL97" s="56"/>
      <c r="CM97" s="56"/>
      <c r="CN97" s="56"/>
      <c r="CO97" s="56"/>
      <c r="CP97" s="56"/>
      <c r="CQ97" s="56"/>
      <c r="CR97" s="56"/>
      <c r="CS97" s="56"/>
      <c r="CT97" s="56"/>
      <c r="CU97" s="56"/>
      <c r="CV97" s="56"/>
    </row>
    <row r="98" spans="1:100" ht="15" customHeight="1" x14ac:dyDescent="0.35">
      <c r="A98" s="56"/>
      <c r="B98" s="300"/>
      <c r="C98" s="300"/>
      <c r="D98" s="301"/>
      <c r="E98" s="524"/>
      <c r="F98" s="525"/>
      <c r="G98" s="525"/>
      <c r="H98" s="525"/>
      <c r="I98" s="530"/>
      <c r="J98" s="452" t="str">
        <f>IF(AND('Mapa final'!$K$97="Muy Baja",'Mapa final'!$O$97="Leve"),CONCATENATE("R",'Mapa final'!$A$97),"")</f>
        <v/>
      </c>
      <c r="K98" s="453"/>
      <c r="L98" s="453" t="e">
        <f>IF(AND('Mapa final'!#REF!="Muy Baja",'Mapa final'!#REF!="Leve"),CONCATENATE("R",'Mapa final'!#REF!),"")</f>
        <v>#REF!</v>
      </c>
      <c r="M98" s="453"/>
      <c r="N98" s="453" t="str">
        <f>IF(AND('Mapa final'!$K$100="Muy Baja",'Mapa final'!$O$100="Leve"),CONCATENATE("R",'Mapa final'!$A$100),"")</f>
        <v/>
      </c>
      <c r="O98" s="453"/>
      <c r="P98" s="453" t="str">
        <f>IF(AND('Mapa final'!$K$103="Muy Baja",'Mapa final'!$O$103="Leve"),CONCATENATE("R",'Mapa final'!$A$103),"")</f>
        <v/>
      </c>
      <c r="Q98" s="453"/>
      <c r="R98" s="453" t="str">
        <f>IF(AND('Mapa final'!$K$106="Muy Baja",'Mapa final'!$O$106="Leve"),CONCATENATE("R",'Mapa final'!$A$106),"")</f>
        <v/>
      </c>
      <c r="S98" s="454"/>
      <c r="T98" s="452" t="str">
        <f>IF(AND('Mapa final'!$K$97="Muy Baja",'Mapa final'!$O$97="Menor"),CONCATENATE("R",'Mapa final'!$A$97),"")</f>
        <v/>
      </c>
      <c r="U98" s="453"/>
      <c r="V98" s="453" t="e">
        <f>IF(AND('Mapa final'!#REF!="Muy Baja",'Mapa final'!#REF!="Menor"),CONCATENATE("R",'Mapa final'!#REF!),"")</f>
        <v>#REF!</v>
      </c>
      <c r="W98" s="453"/>
      <c r="X98" s="453" t="str">
        <f>IF(AND('Mapa final'!$K$100="Muy Baja",'Mapa final'!$O$100="Menor"),CONCATENATE("R",'Mapa final'!$A$100),"")</f>
        <v/>
      </c>
      <c r="Y98" s="453"/>
      <c r="Z98" s="453" t="str">
        <f>IF(AND('Mapa final'!$K$103="Muy Baja",'Mapa final'!$O$103="Menor"),CONCATENATE("R",'Mapa final'!$A$103),"")</f>
        <v/>
      </c>
      <c r="AA98" s="453"/>
      <c r="AB98" s="453" t="str">
        <f>IF(AND('Mapa final'!$K$106="Muy Baja",'Mapa final'!$O$106="Menor"),CONCATENATE("R",'Mapa final'!$A$106),"")</f>
        <v/>
      </c>
      <c r="AC98" s="454"/>
      <c r="AD98" s="460" t="str">
        <f>IF(AND('Mapa final'!$K$97="Muy Baja",'Mapa final'!$O$97="Moderado"),CONCATENATE("R",'Mapa final'!$A$97),"")</f>
        <v/>
      </c>
      <c r="AE98" s="458"/>
      <c r="AF98" s="458" t="e">
        <f>IF(AND('Mapa final'!#REF!="Muy Baja",'Mapa final'!#REF!="Moderado"),CONCATENATE("R",'Mapa final'!#REF!),"")</f>
        <v>#REF!</v>
      </c>
      <c r="AG98" s="458"/>
      <c r="AH98" s="458" t="str">
        <f>IF(AND('Mapa final'!$K$100="Muy Baja",'Mapa final'!$O$100="Moderado"),CONCATENATE("R",'Mapa final'!$A$100),"")</f>
        <v/>
      </c>
      <c r="AI98" s="458"/>
      <c r="AJ98" s="458" t="str">
        <f>IF(AND('Mapa final'!$K$103="Muy Baja",'Mapa final'!$O$103="Moderado"),CONCATENATE("R",'Mapa final'!$A$103),"")</f>
        <v/>
      </c>
      <c r="AK98" s="458"/>
      <c r="AL98" s="458" t="str">
        <f>IF(AND('Mapa final'!$K$106="Muy Baja",'Mapa final'!$O$106="Moderado"),CONCATENATE("R",'Mapa final'!$A$106),"")</f>
        <v/>
      </c>
      <c r="AM98" s="459"/>
      <c r="AN98" s="463" t="str">
        <f>IF(AND('Mapa final'!$K$97="Muy Baja",'Mapa final'!$O$97="Mayor"),CONCATENATE("R",'Mapa final'!$A$97),"")</f>
        <v/>
      </c>
      <c r="AO98" s="461"/>
      <c r="AP98" s="461" t="e">
        <f>IF(AND('Mapa final'!#REF!="Muy Baja",'Mapa final'!#REF!="Mayor"),CONCATENATE("R",'Mapa final'!#REF!),"")</f>
        <v>#REF!</v>
      </c>
      <c r="AQ98" s="461"/>
      <c r="AR98" s="461" t="str">
        <f>IF(AND('Mapa final'!$K$100="Muy Baja",'Mapa final'!$O$100="Mayor"),CONCATENATE("R",'Mapa final'!$A$100),"")</f>
        <v/>
      </c>
      <c r="AS98" s="461"/>
      <c r="AT98" s="461" t="str">
        <f>IF(AND('Mapa final'!$K$103="Muy Baja",'Mapa final'!$O$103="Mayor"),CONCATENATE("R",'Mapa final'!$A$103),"")</f>
        <v/>
      </c>
      <c r="AU98" s="461"/>
      <c r="AV98" s="461" t="str">
        <f>IF(AND('Mapa final'!$K$106="Muy Baja",'Mapa final'!$O$106="Mayor"),CONCATENATE("R",'Mapa final'!$A$106),"")</f>
        <v/>
      </c>
      <c r="AW98" s="462"/>
      <c r="AX98" s="457" t="str">
        <f>IF(AND('Mapa final'!$K$97="Muy Baja",'Mapa final'!$O$97="Catastrófico"),CONCATENATE("R",'Mapa final'!$A$97),"")</f>
        <v/>
      </c>
      <c r="AY98" s="455"/>
      <c r="AZ98" s="455" t="e">
        <f>IF(AND('Mapa final'!#REF!="Muy Baja",'Mapa final'!#REF!="Catastrófico"),CONCATENATE("R",'Mapa final'!#REF!),"")</f>
        <v>#REF!</v>
      </c>
      <c r="BA98" s="455"/>
      <c r="BB98" s="455" t="str">
        <f>IF(AND('Mapa final'!$K$100="Muy Baja",'Mapa final'!$O$100="Catastrófico"),CONCATENATE("R",'Mapa final'!$A$100),"")</f>
        <v/>
      </c>
      <c r="BC98" s="455"/>
      <c r="BD98" s="455" t="str">
        <f>IF(AND('Mapa final'!$K$103="Muy Baja",'Mapa final'!$O$103="Catastrófico"),CONCATENATE("R",'Mapa final'!$A$103),"")</f>
        <v/>
      </c>
      <c r="BE98" s="455"/>
      <c r="BF98" s="455" t="str">
        <f>IF(AND('Mapa final'!$K$106="Muy Baja",'Mapa final'!$O$106="Catastrófico"),CONCATENATE("R",'Mapa final'!$A$106),"")</f>
        <v/>
      </c>
      <c r="BG98" s="456"/>
      <c r="BH98" s="56"/>
      <c r="BI98" s="56"/>
      <c r="BJ98" s="56"/>
      <c r="BK98" s="56"/>
      <c r="BL98" s="56"/>
      <c r="BM98" s="56"/>
      <c r="BN98" s="56"/>
      <c r="BO98" s="56"/>
      <c r="BP98" s="56"/>
      <c r="BQ98" s="56"/>
      <c r="BR98" s="56"/>
      <c r="BS98" s="56"/>
      <c r="BT98" s="56"/>
      <c r="BU98" s="56"/>
      <c r="BV98" s="56"/>
      <c r="BW98" s="56"/>
      <c r="BX98" s="56"/>
      <c r="BY98" s="56"/>
      <c r="BZ98" s="56"/>
      <c r="CA98" s="56"/>
      <c r="CB98" s="56"/>
      <c r="CC98" s="56"/>
      <c r="CD98" s="56"/>
      <c r="CE98" s="56"/>
      <c r="CF98" s="56"/>
      <c r="CG98" s="56"/>
      <c r="CH98" s="56"/>
      <c r="CI98" s="56"/>
      <c r="CJ98" s="56"/>
      <c r="CK98" s="56"/>
      <c r="CL98" s="56"/>
      <c r="CM98" s="56"/>
      <c r="CN98" s="56"/>
      <c r="CO98" s="56"/>
      <c r="CP98" s="56"/>
      <c r="CQ98" s="56"/>
      <c r="CR98" s="56"/>
      <c r="CS98" s="56"/>
      <c r="CT98" s="56"/>
      <c r="CU98" s="56"/>
      <c r="CV98" s="56"/>
    </row>
    <row r="99" spans="1:100" ht="15" customHeight="1" x14ac:dyDescent="0.35">
      <c r="A99" s="56"/>
      <c r="B99" s="300"/>
      <c r="C99" s="300"/>
      <c r="D99" s="301"/>
      <c r="E99" s="524"/>
      <c r="F99" s="525"/>
      <c r="G99" s="525"/>
      <c r="H99" s="525"/>
      <c r="I99" s="530"/>
      <c r="J99" s="452"/>
      <c r="K99" s="453"/>
      <c r="L99" s="453"/>
      <c r="M99" s="453"/>
      <c r="N99" s="453"/>
      <c r="O99" s="453"/>
      <c r="P99" s="453"/>
      <c r="Q99" s="453"/>
      <c r="R99" s="453"/>
      <c r="S99" s="454"/>
      <c r="T99" s="452"/>
      <c r="U99" s="453"/>
      <c r="V99" s="453"/>
      <c r="W99" s="453"/>
      <c r="X99" s="453"/>
      <c r="Y99" s="453"/>
      <c r="Z99" s="453"/>
      <c r="AA99" s="453"/>
      <c r="AB99" s="453"/>
      <c r="AC99" s="454"/>
      <c r="AD99" s="460"/>
      <c r="AE99" s="458"/>
      <c r="AF99" s="458"/>
      <c r="AG99" s="458"/>
      <c r="AH99" s="458"/>
      <c r="AI99" s="458"/>
      <c r="AJ99" s="458"/>
      <c r="AK99" s="458"/>
      <c r="AL99" s="458"/>
      <c r="AM99" s="459"/>
      <c r="AN99" s="463"/>
      <c r="AO99" s="461"/>
      <c r="AP99" s="461"/>
      <c r="AQ99" s="461"/>
      <c r="AR99" s="461"/>
      <c r="AS99" s="461"/>
      <c r="AT99" s="461"/>
      <c r="AU99" s="461"/>
      <c r="AV99" s="461"/>
      <c r="AW99" s="462"/>
      <c r="AX99" s="457"/>
      <c r="AY99" s="455"/>
      <c r="AZ99" s="455"/>
      <c r="BA99" s="455"/>
      <c r="BB99" s="455"/>
      <c r="BC99" s="455"/>
      <c r="BD99" s="455"/>
      <c r="BE99" s="455"/>
      <c r="BF99" s="455"/>
      <c r="BG99" s="456"/>
      <c r="BH99" s="56"/>
      <c r="BI99" s="56"/>
      <c r="BJ99" s="56"/>
      <c r="BK99" s="56"/>
      <c r="BL99" s="56"/>
      <c r="BM99" s="56"/>
      <c r="BN99" s="56"/>
      <c r="BO99" s="56"/>
      <c r="BP99" s="56"/>
      <c r="BQ99" s="56"/>
      <c r="BR99" s="56"/>
      <c r="BS99" s="56"/>
      <c r="BT99" s="56"/>
      <c r="BU99" s="56"/>
      <c r="BV99" s="56"/>
      <c r="BW99" s="56"/>
      <c r="BX99" s="56"/>
      <c r="BY99" s="56"/>
      <c r="BZ99" s="56"/>
      <c r="CA99" s="56"/>
      <c r="CB99" s="56"/>
      <c r="CC99" s="56"/>
      <c r="CD99" s="56"/>
      <c r="CE99" s="56"/>
      <c r="CF99" s="56"/>
      <c r="CG99" s="56"/>
      <c r="CH99" s="56"/>
      <c r="CI99" s="56"/>
      <c r="CJ99" s="56"/>
      <c r="CK99" s="56"/>
      <c r="CL99" s="56"/>
      <c r="CM99" s="56"/>
      <c r="CN99" s="56"/>
      <c r="CO99" s="56"/>
      <c r="CP99" s="56"/>
      <c r="CQ99" s="56"/>
      <c r="CR99" s="56"/>
      <c r="CS99" s="56"/>
      <c r="CT99" s="56"/>
      <c r="CU99" s="56"/>
      <c r="CV99" s="56"/>
    </row>
    <row r="100" spans="1:100" ht="15" customHeight="1" x14ac:dyDescent="0.35">
      <c r="A100" s="56"/>
      <c r="B100" s="300"/>
      <c r="C100" s="300"/>
      <c r="D100" s="301"/>
      <c r="E100" s="524"/>
      <c r="F100" s="525"/>
      <c r="G100" s="525"/>
      <c r="H100" s="525"/>
      <c r="I100" s="530"/>
      <c r="J100" s="452" t="str">
        <f>IF(AND('Mapa final'!$K$109="Muy Baja",'Mapa final'!$O$109="Leve"),CONCATENATE("R",'Mapa final'!$A$109),"")</f>
        <v/>
      </c>
      <c r="K100" s="453"/>
      <c r="L100" s="453" t="str">
        <f>IF(AND('Mapa final'!$K$112="Muy Baja",'Mapa final'!$O$112="Leve"),CONCATENATE("R",'Mapa final'!$A$112),"")</f>
        <v/>
      </c>
      <c r="M100" s="453"/>
      <c r="N100" s="453" t="str">
        <f>IF(AND('Mapa final'!$K$115="Muy Baja",'Mapa final'!$O$115="Leve"),CONCATENATE("R",'Mapa final'!$A$115),"")</f>
        <v/>
      </c>
      <c r="O100" s="453"/>
      <c r="P100" s="453" t="str">
        <f>IF(AND('Mapa final'!$K$118="Muy Baja",'Mapa final'!$O$118="Leve"),CONCATENATE("R",'Mapa final'!$A$118),"")</f>
        <v/>
      </c>
      <c r="Q100" s="453"/>
      <c r="R100" s="453" t="str">
        <f>IF(AND('Mapa final'!$K$121="Muy Baja",'Mapa final'!$O$121="Leve"),CONCATENATE("R",'Mapa final'!$A$121),"")</f>
        <v/>
      </c>
      <c r="S100" s="454"/>
      <c r="T100" s="452" t="str">
        <f>IF(AND('Mapa final'!$K$109="Muy Baja",'Mapa final'!$O$109="Menor"),CONCATENATE("R",'Mapa final'!$A$109),"")</f>
        <v/>
      </c>
      <c r="U100" s="453"/>
      <c r="V100" s="453" t="str">
        <f>IF(AND('Mapa final'!$K$112="Muy Baja",'Mapa final'!$O$112="Menor"),CONCATENATE("R",'Mapa final'!$A$112),"")</f>
        <v/>
      </c>
      <c r="W100" s="453"/>
      <c r="X100" s="453" t="str">
        <f>IF(AND('Mapa final'!$K$115="Muy Baja",'Mapa final'!$O$115="Menor"),CONCATENATE("R",'Mapa final'!$A$115),"")</f>
        <v/>
      </c>
      <c r="Y100" s="453"/>
      <c r="Z100" s="453" t="str">
        <f>IF(AND('Mapa final'!$K$118="Muy Baja",'Mapa final'!$O$118="Menor"),CONCATENATE("R",'Mapa final'!$A$118),"")</f>
        <v/>
      </c>
      <c r="AA100" s="453"/>
      <c r="AB100" s="453" t="str">
        <f>IF(AND('Mapa final'!$K$121="Muy Baja",'Mapa final'!$O$121="Menor"),CONCATENATE("R",'Mapa final'!$A$121),"")</f>
        <v/>
      </c>
      <c r="AC100" s="454"/>
      <c r="AD100" s="460" t="str">
        <f>IF(AND('Mapa final'!$K$109="Muy Baja",'Mapa final'!$O$109="Moderado"),CONCATENATE("R",'Mapa final'!$A$109),"")</f>
        <v/>
      </c>
      <c r="AE100" s="458"/>
      <c r="AF100" s="458" t="str">
        <f>IF(AND('Mapa final'!$K$112="Muy Baja",'Mapa final'!$O$112="Moderado"),CONCATENATE("R",'Mapa final'!$A$112),"")</f>
        <v/>
      </c>
      <c r="AG100" s="458"/>
      <c r="AH100" s="458" t="str">
        <f>IF(AND('Mapa final'!$K$115="Muy Baja",'Mapa final'!$O$115="Moderado"),CONCATENATE("R",'Mapa final'!$A$115),"")</f>
        <v/>
      </c>
      <c r="AI100" s="458"/>
      <c r="AJ100" s="458" t="str">
        <f>IF(AND('Mapa final'!$K$118="Muy Baja",'Mapa final'!$O$118="Moderado"),CONCATENATE("R",'Mapa final'!$A$118),"")</f>
        <v/>
      </c>
      <c r="AK100" s="458"/>
      <c r="AL100" s="458" t="str">
        <f>IF(AND('Mapa final'!$K$121="Muy Baja",'Mapa final'!$O$121="Moderado"),CONCATENATE("R",'Mapa final'!$A$121),"")</f>
        <v/>
      </c>
      <c r="AM100" s="459"/>
      <c r="AN100" s="463" t="str">
        <f>IF(AND('Mapa final'!$K$109="Muy Baja",'Mapa final'!$O$109="Mayor"),CONCATENATE("R",'Mapa final'!$A$109),"")</f>
        <v/>
      </c>
      <c r="AO100" s="461"/>
      <c r="AP100" s="461" t="str">
        <f>IF(AND('Mapa final'!$K$112="Muy Baja",'Mapa final'!$O$112="Mayor"),CONCATENATE("R",'Mapa final'!$A$112),"")</f>
        <v/>
      </c>
      <c r="AQ100" s="461"/>
      <c r="AR100" s="461" t="str">
        <f>IF(AND('Mapa final'!$K$115="Muy Baja",'Mapa final'!$O$115="Mayor"),CONCATENATE("R",'Mapa final'!$A$115),"")</f>
        <v/>
      </c>
      <c r="AS100" s="461"/>
      <c r="AT100" s="461" t="str">
        <f>IF(AND('Mapa final'!$K$118="Muy Baja",'Mapa final'!$O$118="Mayor"),CONCATENATE("R",'Mapa final'!$A$118),"")</f>
        <v/>
      </c>
      <c r="AU100" s="461"/>
      <c r="AV100" s="461" t="str">
        <f>IF(AND('Mapa final'!$K$121="Muy Baja",'Mapa final'!$O$121="Mayor"),CONCATENATE("R",'Mapa final'!$A$121),"")</f>
        <v/>
      </c>
      <c r="AW100" s="462"/>
      <c r="AX100" s="457" t="str">
        <f>IF(AND('Mapa final'!$K$109="Muy Baja",'Mapa final'!$O$109="Catastrófico"),CONCATENATE("R",'Mapa final'!$A$109),"")</f>
        <v/>
      </c>
      <c r="AY100" s="455"/>
      <c r="AZ100" s="455" t="str">
        <f>IF(AND('Mapa final'!$K$112="Muy Baja",'Mapa final'!$O$112="Catastrófico"),CONCATENATE("R",'Mapa final'!$A$112),"")</f>
        <v/>
      </c>
      <c r="BA100" s="455"/>
      <c r="BB100" s="455" t="str">
        <f>IF(AND('Mapa final'!$K$115="Muy Baja",'Mapa final'!$O$115="Catastrófico"),CONCATENATE("R",'Mapa final'!$A$115),"")</f>
        <v/>
      </c>
      <c r="BC100" s="455"/>
      <c r="BD100" s="455" t="str">
        <f>IF(AND('Mapa final'!$K$118="Muy Baja",'Mapa final'!$O$118="Catastrófico"),CONCATENATE("R",'Mapa final'!$A$118),"")</f>
        <v/>
      </c>
      <c r="BE100" s="455"/>
      <c r="BF100" s="455" t="str">
        <f>IF(AND('Mapa final'!$K$121="Muy Baja",'Mapa final'!$O$121="Catastrófico"),CONCATENATE("R",'Mapa final'!$A$121),"")</f>
        <v/>
      </c>
      <c r="BG100" s="456"/>
      <c r="BH100" s="56"/>
      <c r="BI100" s="56"/>
      <c r="BJ100" s="56"/>
      <c r="BK100" s="56"/>
      <c r="BL100" s="56"/>
      <c r="BM100" s="56"/>
      <c r="BN100" s="56"/>
      <c r="BO100" s="56"/>
      <c r="BP100" s="56"/>
      <c r="BQ100" s="56"/>
      <c r="BR100" s="56"/>
      <c r="BS100" s="56"/>
      <c r="BT100" s="56"/>
      <c r="BU100" s="56"/>
      <c r="BV100" s="56"/>
      <c r="BW100" s="56"/>
      <c r="BX100" s="56"/>
      <c r="BY100" s="56"/>
      <c r="BZ100" s="56"/>
      <c r="CA100" s="56"/>
      <c r="CB100" s="56"/>
      <c r="CC100" s="56"/>
      <c r="CD100" s="56"/>
      <c r="CE100" s="56"/>
      <c r="CF100" s="56"/>
      <c r="CG100" s="56"/>
      <c r="CH100" s="56"/>
      <c r="CI100" s="56"/>
      <c r="CJ100" s="56"/>
      <c r="CK100" s="56"/>
      <c r="CL100" s="56"/>
      <c r="CM100" s="56"/>
      <c r="CN100" s="56"/>
      <c r="CO100" s="56"/>
      <c r="CP100" s="56"/>
      <c r="CQ100" s="56"/>
      <c r="CR100" s="56"/>
      <c r="CS100" s="56"/>
      <c r="CT100" s="56"/>
      <c r="CU100" s="56"/>
      <c r="CV100" s="56"/>
    </row>
    <row r="101" spans="1:100" ht="15" customHeight="1" x14ac:dyDescent="0.35">
      <c r="A101" s="56"/>
      <c r="B101" s="300"/>
      <c r="C101" s="300"/>
      <c r="D101" s="301"/>
      <c r="E101" s="524"/>
      <c r="F101" s="525"/>
      <c r="G101" s="525"/>
      <c r="H101" s="525"/>
      <c r="I101" s="530"/>
      <c r="J101" s="452"/>
      <c r="K101" s="453"/>
      <c r="L101" s="453"/>
      <c r="M101" s="453"/>
      <c r="N101" s="453"/>
      <c r="O101" s="453"/>
      <c r="P101" s="453"/>
      <c r="Q101" s="453"/>
      <c r="R101" s="453"/>
      <c r="S101" s="454"/>
      <c r="T101" s="452"/>
      <c r="U101" s="453"/>
      <c r="V101" s="453"/>
      <c r="W101" s="453"/>
      <c r="X101" s="453"/>
      <c r="Y101" s="453"/>
      <c r="Z101" s="453"/>
      <c r="AA101" s="453"/>
      <c r="AB101" s="453"/>
      <c r="AC101" s="454"/>
      <c r="AD101" s="460"/>
      <c r="AE101" s="458"/>
      <c r="AF101" s="458"/>
      <c r="AG101" s="458"/>
      <c r="AH101" s="458"/>
      <c r="AI101" s="458"/>
      <c r="AJ101" s="458"/>
      <c r="AK101" s="458"/>
      <c r="AL101" s="458"/>
      <c r="AM101" s="459"/>
      <c r="AN101" s="463"/>
      <c r="AO101" s="461"/>
      <c r="AP101" s="461"/>
      <c r="AQ101" s="461"/>
      <c r="AR101" s="461"/>
      <c r="AS101" s="461"/>
      <c r="AT101" s="461"/>
      <c r="AU101" s="461"/>
      <c r="AV101" s="461"/>
      <c r="AW101" s="462"/>
      <c r="AX101" s="457"/>
      <c r="AY101" s="455"/>
      <c r="AZ101" s="455"/>
      <c r="BA101" s="455"/>
      <c r="BB101" s="455"/>
      <c r="BC101" s="455"/>
      <c r="BD101" s="455"/>
      <c r="BE101" s="455"/>
      <c r="BF101" s="455"/>
      <c r="BG101" s="456"/>
      <c r="BH101" s="56"/>
      <c r="BI101" s="56"/>
      <c r="BJ101" s="56"/>
      <c r="BK101" s="56"/>
      <c r="BL101" s="56"/>
      <c r="BM101" s="56"/>
      <c r="BN101" s="56"/>
      <c r="BO101" s="56"/>
      <c r="BP101" s="56"/>
      <c r="BQ101" s="56"/>
      <c r="BR101" s="56"/>
      <c r="BS101" s="56"/>
      <c r="BT101" s="56"/>
      <c r="BU101" s="56"/>
      <c r="BV101" s="56"/>
      <c r="BW101" s="56"/>
      <c r="BX101" s="56"/>
      <c r="BY101" s="56"/>
      <c r="BZ101" s="56"/>
      <c r="CA101" s="56"/>
      <c r="CB101" s="56"/>
      <c r="CC101" s="56"/>
      <c r="CD101" s="56"/>
      <c r="CE101" s="56"/>
      <c r="CF101" s="56"/>
      <c r="CG101" s="56"/>
      <c r="CH101" s="56"/>
      <c r="CI101" s="56"/>
      <c r="CJ101" s="56"/>
      <c r="CK101" s="56"/>
      <c r="CL101" s="56"/>
      <c r="CM101" s="56"/>
      <c r="CN101" s="56"/>
      <c r="CO101" s="56"/>
      <c r="CP101" s="56"/>
      <c r="CQ101" s="56"/>
      <c r="CR101" s="56"/>
      <c r="CS101" s="56"/>
      <c r="CT101" s="56"/>
      <c r="CU101" s="56"/>
      <c r="CV101" s="56"/>
    </row>
    <row r="102" spans="1:100" ht="15" customHeight="1" x14ac:dyDescent="0.35">
      <c r="A102" s="56"/>
      <c r="B102" s="300"/>
      <c r="C102" s="300"/>
      <c r="D102" s="301"/>
      <c r="E102" s="524"/>
      <c r="F102" s="525"/>
      <c r="G102" s="525"/>
      <c r="H102" s="525"/>
      <c r="I102" s="530"/>
      <c r="J102" s="452" t="str">
        <f>IF(AND('Mapa final'!$K$124="Muy Baja",'Mapa final'!$O$124="Leve"),CONCATENATE("R",'Mapa final'!$A$124),"")</f>
        <v/>
      </c>
      <c r="K102" s="453"/>
      <c r="L102" s="453" t="str">
        <f>IF(AND('Mapa final'!$K$127="Muy Baja",'Mapa final'!$O$127="Leve"),CONCATENATE("R",'Mapa final'!$A$127),"")</f>
        <v/>
      </c>
      <c r="M102" s="453"/>
      <c r="N102" s="453" t="str">
        <f>IF(AND('Mapa final'!$K$130="Muy Baja",'Mapa final'!$O$130="Leve"),CONCATENATE("R",'Mapa final'!$A$130),"")</f>
        <v/>
      </c>
      <c r="O102" s="453"/>
      <c r="P102" s="453" t="str">
        <f>IF(AND('Mapa final'!$K$133="Muy Baja",'Mapa final'!$O$133="Leve"),CONCATENATE("R",'Mapa final'!$A$133),"")</f>
        <v/>
      </c>
      <c r="Q102" s="453"/>
      <c r="R102" s="453" t="str">
        <f>IF(AND('Mapa final'!$K$136="Muy Baja",'Mapa final'!$O$136="Leve"),CONCATENATE("R",'Mapa final'!$A$136),"")</f>
        <v/>
      </c>
      <c r="S102" s="454"/>
      <c r="T102" s="452" t="str">
        <f>IF(AND('Mapa final'!$K$124="Muy Baja",'Mapa final'!$O$124="Menor"),CONCATENATE("R",'Mapa final'!$A$124),"")</f>
        <v/>
      </c>
      <c r="U102" s="453"/>
      <c r="V102" s="453" t="str">
        <f>IF(AND('Mapa final'!$K$127="Muy Baja",'Mapa final'!$O$127="Menor"),CONCATENATE("R",'Mapa final'!$A$127),"")</f>
        <v/>
      </c>
      <c r="W102" s="453"/>
      <c r="X102" s="453" t="str">
        <f>IF(AND('Mapa final'!$K$130="Muy Baja",'Mapa final'!$O$130="Menor"),CONCATENATE("R",'Mapa final'!$A$130),"")</f>
        <v/>
      </c>
      <c r="Y102" s="453"/>
      <c r="Z102" s="453" t="str">
        <f>IF(AND('Mapa final'!$K$133="Muy Baja",'Mapa final'!$O$133="Menor"),CONCATENATE("R",'Mapa final'!$A$133),"")</f>
        <v/>
      </c>
      <c r="AA102" s="453"/>
      <c r="AB102" s="453" t="str">
        <f>IF(AND('Mapa final'!$K$136="Muy Baja",'Mapa final'!$O$136="Menor"),CONCATENATE("R",'Mapa final'!$A$136),"")</f>
        <v/>
      </c>
      <c r="AC102" s="454"/>
      <c r="AD102" s="460" t="str">
        <f>IF(AND('Mapa final'!$K$124="Muy Baja",'Mapa final'!$O$124="Moderado"),CONCATENATE("R",'Mapa final'!$A$124),"")</f>
        <v/>
      </c>
      <c r="AE102" s="458"/>
      <c r="AF102" s="458" t="str">
        <f>IF(AND('Mapa final'!$K$127="Muy Baja",'Mapa final'!$O$127="Moderado"),CONCATENATE("R",'Mapa final'!$A$127),"")</f>
        <v/>
      </c>
      <c r="AG102" s="458"/>
      <c r="AH102" s="458" t="str">
        <f>IF(AND('Mapa final'!$K$130="Muy Baja",'Mapa final'!$O$130="Moderado"),CONCATENATE("R",'Mapa final'!$A$130),"")</f>
        <v/>
      </c>
      <c r="AI102" s="458"/>
      <c r="AJ102" s="458" t="str">
        <f>IF(AND('Mapa final'!$K$133="Muy Baja",'Mapa final'!$O$133="Moderado"),CONCATENATE("R",'Mapa final'!$A$133),"")</f>
        <v/>
      </c>
      <c r="AK102" s="458"/>
      <c r="AL102" s="458" t="str">
        <f>IF(AND('Mapa final'!$K$136="Muy Baja",'Mapa final'!$O$136="Moderado"),CONCATENATE("R",'Mapa final'!$A$136),"")</f>
        <v/>
      </c>
      <c r="AM102" s="459"/>
      <c r="AN102" s="463" t="str">
        <f>IF(AND('Mapa final'!$K$124="Muy Baja",'Mapa final'!$O$124="Mayor"),CONCATENATE("R",'Mapa final'!$A$124),"")</f>
        <v/>
      </c>
      <c r="AO102" s="461"/>
      <c r="AP102" s="461" t="str">
        <f>IF(AND('Mapa final'!$K$127="Muy Baja",'Mapa final'!$O$127="Mayor"),CONCATENATE("R",'Mapa final'!$A$127),"")</f>
        <v/>
      </c>
      <c r="AQ102" s="461"/>
      <c r="AR102" s="461" t="str">
        <f>IF(AND('Mapa final'!$K$130="Muy Baja",'Mapa final'!$O$130="Mayor"),CONCATENATE("R",'Mapa final'!$A$130),"")</f>
        <v/>
      </c>
      <c r="AS102" s="461"/>
      <c r="AT102" s="461" t="str">
        <f>IF(AND('Mapa final'!$K$133="Muy Baja",'Mapa final'!$O$133="Mayor"),CONCATENATE("R",'Mapa final'!$A$133),"")</f>
        <v/>
      </c>
      <c r="AU102" s="461"/>
      <c r="AV102" s="461" t="str">
        <f>IF(AND('Mapa final'!$K$136="Muy Baja",'Mapa final'!$O$136="Mayor"),CONCATENATE("R",'Mapa final'!$A$136),"")</f>
        <v/>
      </c>
      <c r="AW102" s="462"/>
      <c r="AX102" s="457" t="str">
        <f>IF(AND('Mapa final'!$K$124="Muy Baja",'Mapa final'!$O$124="Catastrófico"),CONCATENATE("R",'Mapa final'!$A$124),"")</f>
        <v/>
      </c>
      <c r="AY102" s="455"/>
      <c r="AZ102" s="455" t="str">
        <f>IF(AND('Mapa final'!$K$127="Muy Baja",'Mapa final'!$O$127="Catastrófico"),CONCATENATE("R",'Mapa final'!$A$127),"")</f>
        <v/>
      </c>
      <c r="BA102" s="455"/>
      <c r="BB102" s="455" t="str">
        <f>IF(AND('Mapa final'!$K$130="Muy Baja",'Mapa final'!$O$130="Catastrófico"),CONCATENATE("R",'Mapa final'!$A$130),"")</f>
        <v/>
      </c>
      <c r="BC102" s="455"/>
      <c r="BD102" s="455" t="str">
        <f>IF(AND('Mapa final'!$K$133="Muy Baja",'Mapa final'!$O$133="Catastrófico"),CONCATENATE("R",'Mapa final'!$A$133),"")</f>
        <v/>
      </c>
      <c r="BE102" s="455"/>
      <c r="BF102" s="455" t="str">
        <f>IF(AND('Mapa final'!$K$136="Muy Baja",'Mapa final'!$O$136="Catastrófico"),CONCATENATE("R",'Mapa final'!$A$136),"")</f>
        <v/>
      </c>
      <c r="BG102" s="456"/>
      <c r="BH102" s="56"/>
      <c r="BI102" s="56"/>
      <c r="BJ102" s="56"/>
      <c r="BK102" s="56"/>
      <c r="BL102" s="56"/>
      <c r="BM102" s="56"/>
      <c r="BN102" s="56"/>
      <c r="BO102" s="56"/>
      <c r="BP102" s="56"/>
      <c r="BQ102" s="56"/>
      <c r="BR102" s="56"/>
      <c r="BS102" s="56"/>
      <c r="BT102" s="56"/>
      <c r="BU102" s="56"/>
      <c r="BV102" s="56"/>
      <c r="BW102" s="56"/>
      <c r="BX102" s="56"/>
      <c r="BY102" s="56"/>
      <c r="BZ102" s="56"/>
      <c r="CA102" s="56"/>
      <c r="CB102" s="56"/>
      <c r="CC102" s="56"/>
      <c r="CD102" s="56"/>
      <c r="CE102" s="56"/>
      <c r="CF102" s="56"/>
      <c r="CG102" s="56"/>
      <c r="CH102" s="56"/>
      <c r="CI102" s="56"/>
      <c r="CJ102" s="56"/>
      <c r="CK102" s="56"/>
      <c r="CL102" s="56"/>
      <c r="CM102" s="56"/>
      <c r="CN102" s="56"/>
      <c r="CO102" s="56"/>
      <c r="CP102" s="56"/>
      <c r="CQ102" s="56"/>
      <c r="CR102" s="56"/>
      <c r="CS102" s="56"/>
      <c r="CT102" s="56"/>
      <c r="CU102" s="56"/>
      <c r="CV102" s="56"/>
    </row>
    <row r="103" spans="1:100" ht="15" customHeight="1" x14ac:dyDescent="0.35">
      <c r="A103" s="56"/>
      <c r="B103" s="300"/>
      <c r="C103" s="300"/>
      <c r="D103" s="301"/>
      <c r="E103" s="524"/>
      <c r="F103" s="525"/>
      <c r="G103" s="525"/>
      <c r="H103" s="525"/>
      <c r="I103" s="530"/>
      <c r="J103" s="452"/>
      <c r="K103" s="453"/>
      <c r="L103" s="453"/>
      <c r="M103" s="453"/>
      <c r="N103" s="453"/>
      <c r="O103" s="453"/>
      <c r="P103" s="453"/>
      <c r="Q103" s="453"/>
      <c r="R103" s="453"/>
      <c r="S103" s="454"/>
      <c r="T103" s="452"/>
      <c r="U103" s="453"/>
      <c r="V103" s="453"/>
      <c r="W103" s="453"/>
      <c r="X103" s="453"/>
      <c r="Y103" s="453"/>
      <c r="Z103" s="453"/>
      <c r="AA103" s="453"/>
      <c r="AB103" s="453"/>
      <c r="AC103" s="454"/>
      <c r="AD103" s="460"/>
      <c r="AE103" s="458"/>
      <c r="AF103" s="458"/>
      <c r="AG103" s="458"/>
      <c r="AH103" s="458"/>
      <c r="AI103" s="458"/>
      <c r="AJ103" s="458"/>
      <c r="AK103" s="458"/>
      <c r="AL103" s="458"/>
      <c r="AM103" s="459"/>
      <c r="AN103" s="463"/>
      <c r="AO103" s="461"/>
      <c r="AP103" s="461"/>
      <c r="AQ103" s="461"/>
      <c r="AR103" s="461"/>
      <c r="AS103" s="461"/>
      <c r="AT103" s="461"/>
      <c r="AU103" s="461"/>
      <c r="AV103" s="461"/>
      <c r="AW103" s="462"/>
      <c r="AX103" s="457"/>
      <c r="AY103" s="455"/>
      <c r="AZ103" s="455"/>
      <c r="BA103" s="455"/>
      <c r="BB103" s="455"/>
      <c r="BC103" s="455"/>
      <c r="BD103" s="455"/>
      <c r="BE103" s="455"/>
      <c r="BF103" s="455"/>
      <c r="BG103" s="456"/>
      <c r="BH103" s="56"/>
      <c r="BI103" s="56"/>
      <c r="BJ103" s="56"/>
      <c r="BK103" s="56"/>
      <c r="BL103" s="56"/>
      <c r="BM103" s="56"/>
      <c r="BN103" s="56"/>
      <c r="BO103" s="56"/>
      <c r="BP103" s="56"/>
      <c r="BQ103" s="56"/>
      <c r="BR103" s="56"/>
      <c r="BS103" s="56"/>
      <c r="BT103" s="56"/>
      <c r="BU103" s="56"/>
      <c r="BV103" s="56"/>
      <c r="BW103" s="56"/>
      <c r="BX103" s="56"/>
      <c r="BY103" s="56"/>
      <c r="BZ103" s="56"/>
      <c r="CA103" s="56"/>
      <c r="CB103" s="56"/>
      <c r="CC103" s="56"/>
      <c r="CD103" s="56"/>
      <c r="CE103" s="56"/>
      <c r="CF103" s="56"/>
      <c r="CG103" s="56"/>
      <c r="CH103" s="56"/>
      <c r="CI103" s="56"/>
      <c r="CJ103" s="56"/>
      <c r="CK103" s="56"/>
      <c r="CL103" s="56"/>
      <c r="CM103" s="56"/>
      <c r="CN103" s="56"/>
      <c r="CO103" s="56"/>
      <c r="CP103" s="56"/>
      <c r="CQ103" s="56"/>
      <c r="CR103" s="56"/>
      <c r="CS103" s="56"/>
      <c r="CT103" s="56"/>
      <c r="CU103" s="56"/>
      <c r="CV103" s="56"/>
    </row>
    <row r="104" spans="1:100" ht="15" customHeight="1" x14ac:dyDescent="0.35">
      <c r="A104" s="56"/>
      <c r="B104" s="300"/>
      <c r="C104" s="300"/>
      <c r="D104" s="301"/>
      <c r="E104" s="524"/>
      <c r="F104" s="525"/>
      <c r="G104" s="525"/>
      <c r="H104" s="525"/>
      <c r="I104" s="530"/>
      <c r="J104" s="452" t="str">
        <f>IF(AND('Mapa final'!$K$139="Muy Baja",'Mapa final'!$O$139="Leve"),CONCATENATE("R",'Mapa final'!$A$139),"")</f>
        <v/>
      </c>
      <c r="K104" s="453"/>
      <c r="L104" s="453" t="str">
        <f>IF(AND('Mapa final'!$K$142="Muy Baja",'Mapa final'!$O$142="Leve"),CONCATENATE("R",'Mapa final'!$A$142),"")</f>
        <v/>
      </c>
      <c r="M104" s="453"/>
      <c r="N104" s="453" t="str">
        <f>IF(AND('Mapa final'!$K$145="Muy Baja",'Mapa final'!$O$145="Leve"),CONCATENATE("R",'Mapa final'!$A$145),"")</f>
        <v/>
      </c>
      <c r="O104" s="453"/>
      <c r="P104" s="453" t="str">
        <f>IF(AND('Mapa final'!$K$148="Muy Baja",'Mapa final'!$O$148="Leve"),CONCATENATE("R",'Mapa final'!$A$148),"")</f>
        <v/>
      </c>
      <c r="Q104" s="453"/>
      <c r="R104" s="453" t="str">
        <f>IF(AND('Mapa final'!$K$151="Muy Baja",'Mapa final'!$O$151="Leve"),CONCATENATE("R",'Mapa final'!$A$151),"")</f>
        <v/>
      </c>
      <c r="S104" s="454"/>
      <c r="T104" s="452" t="str">
        <f>IF(AND('Mapa final'!$K$139="Muy Baja",'Mapa final'!$O$139="Menor"),CONCATENATE("R",'Mapa final'!$A$139),"")</f>
        <v/>
      </c>
      <c r="U104" s="453"/>
      <c r="V104" s="453" t="str">
        <f>IF(AND('Mapa final'!$K$142="Muy Baja",'Mapa final'!$O$142="Menor"),CONCATENATE("R",'Mapa final'!$A$142),"")</f>
        <v/>
      </c>
      <c r="W104" s="453"/>
      <c r="X104" s="453" t="str">
        <f>IF(AND('Mapa final'!$K$145="Muy Baja",'Mapa final'!$O$145="Menor"),CONCATENATE("R",'Mapa final'!$A$145),"")</f>
        <v/>
      </c>
      <c r="Y104" s="453"/>
      <c r="Z104" s="453" t="str">
        <f>IF(AND('Mapa final'!$K$148="Muy Baja",'Mapa final'!$O$148="Menor"),CONCATENATE("R",'Mapa final'!$A$148),"")</f>
        <v/>
      </c>
      <c r="AA104" s="453"/>
      <c r="AB104" s="453" t="str">
        <f>IF(AND('Mapa final'!$K$151="Muy Baja",'Mapa final'!$O$151="Menor"),CONCATENATE("R",'Mapa final'!$A$151),"")</f>
        <v/>
      </c>
      <c r="AC104" s="454"/>
      <c r="AD104" s="460" t="str">
        <f>IF(AND('Mapa final'!$K$139="Muy Baja",'Mapa final'!$O$139="Moderado"),CONCATENATE("R",'Mapa final'!$A$139),"")</f>
        <v/>
      </c>
      <c r="AE104" s="458"/>
      <c r="AF104" s="458" t="str">
        <f>IF(AND('Mapa final'!$K$142="Muy Baja",'Mapa final'!$O$142="Moderado"),CONCATENATE("R",'Mapa final'!$A$142),"")</f>
        <v/>
      </c>
      <c r="AG104" s="458"/>
      <c r="AH104" s="458" t="str">
        <f>IF(AND('Mapa final'!$K$145="Muy Baja",'Mapa final'!$O$145="Moderado"),CONCATENATE("R",'Mapa final'!$A$145),"")</f>
        <v/>
      </c>
      <c r="AI104" s="458"/>
      <c r="AJ104" s="458" t="str">
        <f>IF(AND('Mapa final'!$K$148="Muy Baja",'Mapa final'!$O$148="Moderado"),CONCATENATE("R",'Mapa final'!$A$148),"")</f>
        <v/>
      </c>
      <c r="AK104" s="458"/>
      <c r="AL104" s="458" t="str">
        <f>IF(AND('Mapa final'!$K$151="Muy Baja",'Mapa final'!$O$151="Moderado"),CONCATENATE("R",'Mapa final'!$A$151),"")</f>
        <v/>
      </c>
      <c r="AM104" s="459"/>
      <c r="AN104" s="463" t="str">
        <f>IF(AND('Mapa final'!$K$139="Muy Baja",'Mapa final'!$O$139="Mayor"),CONCATENATE("R",'Mapa final'!$A$139),"")</f>
        <v/>
      </c>
      <c r="AO104" s="461"/>
      <c r="AP104" s="461" t="str">
        <f>IF(AND('Mapa final'!$K$142="Muy Baja",'Mapa final'!$O$142="Mayor"),CONCATENATE("R",'Mapa final'!$A$142),"")</f>
        <v/>
      </c>
      <c r="AQ104" s="461"/>
      <c r="AR104" s="461" t="str">
        <f>IF(AND('Mapa final'!$K$145="Muy Baja",'Mapa final'!$O$145="Mayor"),CONCATENATE("R",'Mapa final'!$A$145),"")</f>
        <v/>
      </c>
      <c r="AS104" s="461"/>
      <c r="AT104" s="461" t="str">
        <f>IF(AND('Mapa final'!$K$148="Muy Baja",'Mapa final'!$O$148="Mayor"),CONCATENATE("R",'Mapa final'!$A$148),"")</f>
        <v/>
      </c>
      <c r="AU104" s="461"/>
      <c r="AV104" s="461" t="str">
        <f>IF(AND('Mapa final'!$K$151="Muy Baja",'Mapa final'!$O$151="Mayor"),CONCATENATE("R",'Mapa final'!$A$151),"")</f>
        <v/>
      </c>
      <c r="AW104" s="462"/>
      <c r="AX104" s="457" t="str">
        <f>IF(AND('Mapa final'!$K$139="Muy Baja",'Mapa final'!$O$139="Catastrófico"),CONCATENATE("R",'Mapa final'!$A$139),"")</f>
        <v/>
      </c>
      <c r="AY104" s="455"/>
      <c r="AZ104" s="455" t="str">
        <f>IF(AND('Mapa final'!$K$142="Muy Baja",'Mapa final'!$O$142="Catastrófico"),CONCATENATE("R",'Mapa final'!$A$142),"")</f>
        <v/>
      </c>
      <c r="BA104" s="455"/>
      <c r="BB104" s="455" t="str">
        <f>IF(AND('Mapa final'!$K$145="Muy Baja",'Mapa final'!$O$145="Catastrófico"),CONCATENATE("R",'Mapa final'!$A$145),"")</f>
        <v/>
      </c>
      <c r="BC104" s="455"/>
      <c r="BD104" s="455" t="str">
        <f>IF(AND('Mapa final'!$K$148="Muy Baja",'Mapa final'!$O$148="Catastrófico"),CONCATENATE("R",'Mapa final'!$A$148),"")</f>
        <v/>
      </c>
      <c r="BE104" s="455"/>
      <c r="BF104" s="455" t="str">
        <f>IF(AND('Mapa final'!$K$151="Muy Baja",'Mapa final'!$O$151="Catastrófico"),CONCATENATE("R",'Mapa final'!$A$151),"")</f>
        <v/>
      </c>
      <c r="BG104" s="456"/>
      <c r="BH104" s="56"/>
      <c r="BI104" s="56"/>
      <c r="BJ104" s="56"/>
      <c r="BK104" s="56"/>
      <c r="BL104" s="56"/>
      <c r="BM104" s="56"/>
      <c r="BN104" s="56"/>
      <c r="BO104" s="56"/>
      <c r="BP104" s="56"/>
      <c r="BQ104" s="56"/>
      <c r="BR104" s="56"/>
      <c r="BS104" s="56"/>
      <c r="BT104" s="56"/>
      <c r="BU104" s="56"/>
      <c r="BV104" s="56"/>
      <c r="BW104" s="56"/>
      <c r="BX104" s="56"/>
      <c r="BY104" s="56"/>
      <c r="BZ104" s="56"/>
      <c r="CA104" s="56"/>
      <c r="CB104" s="56"/>
      <c r="CC104" s="56"/>
      <c r="CD104" s="56"/>
      <c r="CE104" s="56"/>
      <c r="CF104" s="56"/>
      <c r="CG104" s="56"/>
      <c r="CH104" s="56"/>
      <c r="CI104" s="56"/>
      <c r="CJ104" s="56"/>
      <c r="CK104" s="56"/>
      <c r="CL104" s="56"/>
      <c r="CM104" s="56"/>
      <c r="CN104" s="56"/>
      <c r="CO104" s="56"/>
      <c r="CP104" s="56"/>
      <c r="CQ104" s="56"/>
      <c r="CR104" s="56"/>
      <c r="CS104" s="56"/>
      <c r="CT104" s="56"/>
      <c r="CU104" s="56"/>
      <c r="CV104" s="56"/>
    </row>
    <row r="105" spans="1:100" ht="15.75" customHeight="1" thickBot="1" x14ac:dyDescent="0.4">
      <c r="A105" s="56"/>
      <c r="B105" s="300"/>
      <c r="C105" s="300"/>
      <c r="D105" s="301"/>
      <c r="E105" s="527"/>
      <c r="F105" s="528"/>
      <c r="G105" s="528"/>
      <c r="H105" s="528"/>
      <c r="I105" s="531"/>
      <c r="J105" s="481"/>
      <c r="K105" s="482"/>
      <c r="L105" s="482"/>
      <c r="M105" s="482"/>
      <c r="N105" s="482"/>
      <c r="O105" s="482"/>
      <c r="P105" s="482"/>
      <c r="Q105" s="482"/>
      <c r="R105" s="482"/>
      <c r="S105" s="484"/>
      <c r="T105" s="481"/>
      <c r="U105" s="482"/>
      <c r="V105" s="482"/>
      <c r="W105" s="482"/>
      <c r="X105" s="482"/>
      <c r="Y105" s="482"/>
      <c r="Z105" s="482"/>
      <c r="AA105" s="482"/>
      <c r="AB105" s="482"/>
      <c r="AC105" s="484"/>
      <c r="AD105" s="470"/>
      <c r="AE105" s="471"/>
      <c r="AF105" s="471"/>
      <c r="AG105" s="471"/>
      <c r="AH105" s="471"/>
      <c r="AI105" s="471"/>
      <c r="AJ105" s="471"/>
      <c r="AK105" s="471"/>
      <c r="AL105" s="471"/>
      <c r="AM105" s="472"/>
      <c r="AN105" s="464"/>
      <c r="AO105" s="465"/>
      <c r="AP105" s="465"/>
      <c r="AQ105" s="465"/>
      <c r="AR105" s="465"/>
      <c r="AS105" s="465"/>
      <c r="AT105" s="465"/>
      <c r="AU105" s="465"/>
      <c r="AV105" s="465"/>
      <c r="AW105" s="466"/>
      <c r="AX105" s="477"/>
      <c r="AY105" s="476"/>
      <c r="AZ105" s="476"/>
      <c r="BA105" s="476"/>
      <c r="BB105" s="476"/>
      <c r="BC105" s="476"/>
      <c r="BD105" s="476"/>
      <c r="BE105" s="476"/>
      <c r="BF105" s="476"/>
      <c r="BG105" s="478"/>
      <c r="BH105" s="56"/>
      <c r="BI105" s="56"/>
      <c r="BJ105" s="56"/>
      <c r="BK105" s="56"/>
      <c r="BL105" s="56"/>
      <c r="BM105" s="56"/>
      <c r="BN105" s="56"/>
      <c r="BO105" s="56"/>
      <c r="BP105" s="56"/>
      <c r="BQ105" s="56"/>
      <c r="BR105" s="56"/>
      <c r="BS105" s="56"/>
      <c r="BT105" s="56"/>
      <c r="BU105" s="56"/>
      <c r="BV105" s="56"/>
      <c r="BW105" s="56"/>
      <c r="BX105" s="56"/>
      <c r="BY105" s="56"/>
      <c r="BZ105" s="56"/>
      <c r="CA105" s="56"/>
      <c r="CB105" s="56"/>
      <c r="CC105" s="56"/>
      <c r="CD105" s="56"/>
      <c r="CE105" s="56"/>
      <c r="CF105" s="56"/>
      <c r="CG105" s="56"/>
      <c r="CH105" s="56"/>
      <c r="CI105" s="56"/>
      <c r="CJ105" s="56"/>
      <c r="CK105" s="56"/>
      <c r="CL105" s="56"/>
      <c r="CM105" s="56"/>
      <c r="CN105" s="56"/>
      <c r="CO105" s="56"/>
      <c r="CP105" s="56"/>
      <c r="CQ105" s="56"/>
      <c r="CR105" s="56"/>
      <c r="CS105" s="56"/>
      <c r="CT105" s="56"/>
      <c r="CU105" s="56"/>
      <c r="CV105" s="56"/>
    </row>
    <row r="106" spans="1:100" x14ac:dyDescent="0.35">
      <c r="A106" s="56"/>
      <c r="B106" s="56"/>
      <c r="C106" s="56"/>
      <c r="D106" s="56"/>
      <c r="E106" s="56"/>
      <c r="F106" s="56"/>
      <c r="G106" s="56"/>
      <c r="H106" s="56"/>
      <c r="I106" s="56"/>
      <c r="J106" s="532" t="s">
        <v>103</v>
      </c>
      <c r="K106" s="526"/>
      <c r="L106" s="526"/>
      <c r="M106" s="526"/>
      <c r="N106" s="526"/>
      <c r="O106" s="526"/>
      <c r="P106" s="526"/>
      <c r="Q106" s="526"/>
      <c r="R106" s="526"/>
      <c r="S106" s="530"/>
      <c r="T106" s="532" t="s">
        <v>102</v>
      </c>
      <c r="U106" s="526"/>
      <c r="V106" s="526"/>
      <c r="W106" s="526"/>
      <c r="X106" s="526"/>
      <c r="Y106" s="526"/>
      <c r="Z106" s="526"/>
      <c r="AA106" s="526"/>
      <c r="AB106" s="526"/>
      <c r="AC106" s="530"/>
      <c r="AD106" s="532" t="s">
        <v>101</v>
      </c>
      <c r="AE106" s="526"/>
      <c r="AF106" s="526"/>
      <c r="AG106" s="526"/>
      <c r="AH106" s="526"/>
      <c r="AI106" s="526"/>
      <c r="AJ106" s="526"/>
      <c r="AK106" s="526"/>
      <c r="AL106" s="526"/>
      <c r="AM106" s="530"/>
      <c r="AN106" s="532" t="s">
        <v>100</v>
      </c>
      <c r="AO106" s="534"/>
      <c r="AP106" s="534"/>
      <c r="AQ106" s="534"/>
      <c r="AR106" s="534"/>
      <c r="AS106" s="534"/>
      <c r="AT106" s="526"/>
      <c r="AU106" s="526"/>
      <c r="AV106" s="526"/>
      <c r="AW106" s="530"/>
      <c r="AX106" s="532" t="s">
        <v>99</v>
      </c>
      <c r="AY106" s="526"/>
      <c r="AZ106" s="526"/>
      <c r="BA106" s="526"/>
      <c r="BB106" s="526"/>
      <c r="BC106" s="526"/>
      <c r="BD106" s="526"/>
      <c r="BE106" s="526"/>
      <c r="BF106" s="526"/>
      <c r="BG106" s="530"/>
      <c r="BH106" s="56"/>
      <c r="BI106" s="56"/>
      <c r="BJ106" s="56"/>
      <c r="BK106" s="56"/>
      <c r="BL106" s="56"/>
      <c r="BM106" s="56"/>
      <c r="BN106" s="56"/>
      <c r="BO106" s="56"/>
      <c r="BP106" s="56"/>
      <c r="BQ106" s="56"/>
      <c r="BR106" s="56"/>
      <c r="BS106" s="56"/>
      <c r="BT106" s="56"/>
      <c r="BU106" s="56"/>
      <c r="BV106" s="56"/>
      <c r="BW106" s="56"/>
      <c r="BX106" s="56"/>
      <c r="BY106" s="56"/>
      <c r="BZ106" s="56"/>
      <c r="CA106" s="56"/>
      <c r="CB106" s="56"/>
      <c r="CC106" s="56"/>
      <c r="CD106" s="56"/>
      <c r="CE106" s="56"/>
      <c r="CF106" s="56"/>
      <c r="CG106" s="56"/>
      <c r="CH106" s="56"/>
      <c r="CI106" s="56"/>
      <c r="CJ106" s="56"/>
      <c r="CK106" s="56"/>
      <c r="CL106" s="56"/>
      <c r="CM106" s="56"/>
      <c r="CN106" s="56"/>
      <c r="CO106" s="56"/>
      <c r="CP106" s="56"/>
      <c r="CQ106" s="56"/>
      <c r="CR106" s="56"/>
      <c r="CS106" s="56"/>
      <c r="CT106" s="56"/>
      <c r="CU106" s="56"/>
      <c r="CV106" s="56"/>
    </row>
    <row r="107" spans="1:100" x14ac:dyDescent="0.35">
      <c r="A107" s="56"/>
      <c r="B107" s="56"/>
      <c r="C107" s="56"/>
      <c r="D107" s="56"/>
      <c r="E107" s="56"/>
      <c r="F107" s="56"/>
      <c r="G107" s="56"/>
      <c r="H107" s="56"/>
      <c r="I107" s="56"/>
      <c r="J107" s="524"/>
      <c r="K107" s="525"/>
      <c r="L107" s="525"/>
      <c r="M107" s="525"/>
      <c r="N107" s="525"/>
      <c r="O107" s="525"/>
      <c r="P107" s="525"/>
      <c r="Q107" s="525"/>
      <c r="R107" s="525"/>
      <c r="S107" s="530"/>
      <c r="T107" s="524"/>
      <c r="U107" s="525"/>
      <c r="V107" s="525"/>
      <c r="W107" s="525"/>
      <c r="X107" s="525"/>
      <c r="Y107" s="525"/>
      <c r="Z107" s="525"/>
      <c r="AA107" s="525"/>
      <c r="AB107" s="525"/>
      <c r="AC107" s="530"/>
      <c r="AD107" s="524"/>
      <c r="AE107" s="525"/>
      <c r="AF107" s="525"/>
      <c r="AG107" s="525"/>
      <c r="AH107" s="525"/>
      <c r="AI107" s="525"/>
      <c r="AJ107" s="525"/>
      <c r="AK107" s="525"/>
      <c r="AL107" s="525"/>
      <c r="AM107" s="530"/>
      <c r="AN107" s="524"/>
      <c r="AO107" s="525"/>
      <c r="AP107" s="525"/>
      <c r="AQ107" s="525"/>
      <c r="AR107" s="525"/>
      <c r="AS107" s="525"/>
      <c r="AT107" s="525"/>
      <c r="AU107" s="525"/>
      <c r="AV107" s="525"/>
      <c r="AW107" s="530"/>
      <c r="AX107" s="524"/>
      <c r="AY107" s="525"/>
      <c r="AZ107" s="525"/>
      <c r="BA107" s="525"/>
      <c r="BB107" s="525"/>
      <c r="BC107" s="525"/>
      <c r="BD107" s="525"/>
      <c r="BE107" s="525"/>
      <c r="BF107" s="525"/>
      <c r="BG107" s="530"/>
      <c r="BH107" s="56"/>
      <c r="BI107" s="56"/>
      <c r="BJ107" s="56"/>
      <c r="BK107" s="56"/>
      <c r="BL107" s="56"/>
      <c r="BM107" s="56"/>
      <c r="BN107" s="56"/>
      <c r="BO107" s="56"/>
      <c r="BP107" s="56"/>
      <c r="BQ107" s="56"/>
      <c r="BR107" s="56"/>
      <c r="BS107" s="56"/>
      <c r="BT107" s="56"/>
      <c r="BU107" s="56"/>
      <c r="BV107" s="56"/>
      <c r="BW107" s="56"/>
      <c r="BX107" s="56"/>
      <c r="BY107" s="56"/>
      <c r="BZ107" s="56"/>
      <c r="CA107" s="56"/>
      <c r="CB107" s="56"/>
      <c r="CC107" s="56"/>
      <c r="CD107" s="56"/>
      <c r="CE107" s="56"/>
      <c r="CF107" s="56"/>
      <c r="CG107" s="56"/>
      <c r="CH107" s="56"/>
      <c r="CI107" s="56"/>
      <c r="CJ107" s="56"/>
      <c r="CK107" s="56"/>
      <c r="CL107" s="56"/>
      <c r="CM107" s="56"/>
      <c r="CN107" s="56"/>
      <c r="CO107" s="56"/>
      <c r="CP107" s="56"/>
      <c r="CQ107" s="56"/>
      <c r="CR107" s="56"/>
      <c r="CS107" s="56"/>
      <c r="CT107" s="56"/>
      <c r="CU107" s="56"/>
      <c r="CV107" s="56"/>
    </row>
    <row r="108" spans="1:100" x14ac:dyDescent="0.35">
      <c r="A108" s="56"/>
      <c r="B108" s="56"/>
      <c r="C108" s="56"/>
      <c r="D108" s="56"/>
      <c r="E108" s="56"/>
      <c r="F108" s="56"/>
      <c r="G108" s="56"/>
      <c r="H108" s="56"/>
      <c r="I108" s="56"/>
      <c r="J108" s="524"/>
      <c r="K108" s="525"/>
      <c r="L108" s="525"/>
      <c r="M108" s="525"/>
      <c r="N108" s="525"/>
      <c r="O108" s="525"/>
      <c r="P108" s="525"/>
      <c r="Q108" s="525"/>
      <c r="R108" s="525"/>
      <c r="S108" s="530"/>
      <c r="T108" s="524"/>
      <c r="U108" s="525"/>
      <c r="V108" s="525"/>
      <c r="W108" s="525"/>
      <c r="X108" s="525"/>
      <c r="Y108" s="525"/>
      <c r="Z108" s="525"/>
      <c r="AA108" s="525"/>
      <c r="AB108" s="525"/>
      <c r="AC108" s="530"/>
      <c r="AD108" s="524"/>
      <c r="AE108" s="525"/>
      <c r="AF108" s="525"/>
      <c r="AG108" s="525"/>
      <c r="AH108" s="525"/>
      <c r="AI108" s="525"/>
      <c r="AJ108" s="525"/>
      <c r="AK108" s="525"/>
      <c r="AL108" s="525"/>
      <c r="AM108" s="530"/>
      <c r="AN108" s="524"/>
      <c r="AO108" s="525"/>
      <c r="AP108" s="525"/>
      <c r="AQ108" s="525"/>
      <c r="AR108" s="525"/>
      <c r="AS108" s="525"/>
      <c r="AT108" s="525"/>
      <c r="AU108" s="525"/>
      <c r="AV108" s="525"/>
      <c r="AW108" s="530"/>
      <c r="AX108" s="524"/>
      <c r="AY108" s="525"/>
      <c r="AZ108" s="525"/>
      <c r="BA108" s="525"/>
      <c r="BB108" s="525"/>
      <c r="BC108" s="525"/>
      <c r="BD108" s="525"/>
      <c r="BE108" s="525"/>
      <c r="BF108" s="525"/>
      <c r="BG108" s="530"/>
      <c r="BH108" s="56"/>
      <c r="BI108" s="56"/>
      <c r="BJ108" s="56"/>
      <c r="BK108" s="56"/>
      <c r="BL108" s="56"/>
      <c r="BM108" s="56"/>
      <c r="BN108" s="56"/>
      <c r="BO108" s="56"/>
      <c r="BP108" s="56"/>
      <c r="BQ108" s="56"/>
      <c r="BR108" s="56"/>
      <c r="BS108" s="56"/>
      <c r="BT108" s="56"/>
      <c r="BU108" s="56"/>
      <c r="BV108" s="56"/>
      <c r="BW108" s="56"/>
      <c r="BX108" s="56"/>
      <c r="BY108" s="56"/>
      <c r="BZ108" s="56"/>
      <c r="CA108" s="56"/>
      <c r="CB108" s="56"/>
      <c r="CC108" s="56"/>
      <c r="CD108" s="56"/>
      <c r="CE108" s="56"/>
      <c r="CF108" s="56"/>
      <c r="CG108" s="56"/>
      <c r="CH108" s="56"/>
      <c r="CI108" s="56"/>
      <c r="CJ108" s="56"/>
      <c r="CK108" s="56"/>
      <c r="CL108" s="56"/>
      <c r="CM108" s="56"/>
      <c r="CN108" s="56"/>
      <c r="CO108" s="56"/>
      <c r="CP108" s="56"/>
      <c r="CQ108" s="56"/>
      <c r="CR108" s="56"/>
      <c r="CS108" s="56"/>
      <c r="CT108" s="56"/>
      <c r="CU108" s="56"/>
      <c r="CV108" s="56"/>
    </row>
    <row r="109" spans="1:100" x14ac:dyDescent="0.35">
      <c r="A109" s="56"/>
      <c r="B109" s="56"/>
      <c r="C109" s="56"/>
      <c r="D109" s="56"/>
      <c r="E109" s="56"/>
      <c r="F109" s="56"/>
      <c r="G109" s="56"/>
      <c r="H109" s="56"/>
      <c r="I109" s="56"/>
      <c r="J109" s="524"/>
      <c r="K109" s="525"/>
      <c r="L109" s="525"/>
      <c r="M109" s="525"/>
      <c r="N109" s="525"/>
      <c r="O109" s="525"/>
      <c r="P109" s="525"/>
      <c r="Q109" s="525"/>
      <c r="R109" s="525"/>
      <c r="S109" s="530"/>
      <c r="T109" s="524"/>
      <c r="U109" s="525"/>
      <c r="V109" s="525"/>
      <c r="W109" s="525"/>
      <c r="X109" s="525"/>
      <c r="Y109" s="525"/>
      <c r="Z109" s="525"/>
      <c r="AA109" s="525"/>
      <c r="AB109" s="525"/>
      <c r="AC109" s="530"/>
      <c r="AD109" s="524"/>
      <c r="AE109" s="525"/>
      <c r="AF109" s="525"/>
      <c r="AG109" s="525"/>
      <c r="AH109" s="525"/>
      <c r="AI109" s="525"/>
      <c r="AJ109" s="525"/>
      <c r="AK109" s="525"/>
      <c r="AL109" s="525"/>
      <c r="AM109" s="530"/>
      <c r="AN109" s="524"/>
      <c r="AO109" s="525"/>
      <c r="AP109" s="525"/>
      <c r="AQ109" s="525"/>
      <c r="AR109" s="525"/>
      <c r="AS109" s="525"/>
      <c r="AT109" s="525"/>
      <c r="AU109" s="525"/>
      <c r="AV109" s="525"/>
      <c r="AW109" s="530"/>
      <c r="AX109" s="524"/>
      <c r="AY109" s="525"/>
      <c r="AZ109" s="525"/>
      <c r="BA109" s="525"/>
      <c r="BB109" s="525"/>
      <c r="BC109" s="525"/>
      <c r="BD109" s="525"/>
      <c r="BE109" s="525"/>
      <c r="BF109" s="525"/>
      <c r="BG109" s="530"/>
      <c r="BH109" s="56"/>
      <c r="BI109" s="56"/>
      <c r="BJ109" s="56"/>
      <c r="BK109" s="56"/>
      <c r="BL109" s="56"/>
      <c r="BM109" s="56"/>
      <c r="BN109" s="56"/>
      <c r="BO109" s="56"/>
      <c r="BP109" s="56"/>
      <c r="BQ109" s="56"/>
      <c r="BR109" s="56"/>
      <c r="BS109" s="56"/>
      <c r="BT109" s="56"/>
      <c r="BU109" s="56"/>
      <c r="BV109" s="56"/>
      <c r="BW109" s="56"/>
      <c r="BX109" s="56"/>
      <c r="BY109" s="56"/>
      <c r="BZ109" s="56"/>
      <c r="CA109" s="56"/>
      <c r="CB109" s="56"/>
      <c r="CC109" s="56"/>
      <c r="CD109" s="56"/>
      <c r="CE109" s="56"/>
      <c r="CF109" s="56"/>
      <c r="CG109" s="56"/>
      <c r="CH109" s="56"/>
      <c r="CI109" s="56"/>
      <c r="CJ109" s="56"/>
      <c r="CK109" s="56"/>
      <c r="CL109" s="56"/>
      <c r="CM109" s="56"/>
      <c r="CN109" s="56"/>
      <c r="CO109" s="56"/>
      <c r="CP109" s="56"/>
      <c r="CQ109" s="56"/>
      <c r="CR109" s="56"/>
      <c r="CS109" s="56"/>
      <c r="CT109" s="56"/>
      <c r="CU109" s="56"/>
      <c r="CV109" s="56"/>
    </row>
    <row r="110" spans="1:100" x14ac:dyDescent="0.35">
      <c r="A110" s="56"/>
      <c r="B110" s="56"/>
      <c r="C110" s="56"/>
      <c r="D110" s="56"/>
      <c r="E110" s="56"/>
      <c r="F110" s="56"/>
      <c r="G110" s="56"/>
      <c r="H110" s="56"/>
      <c r="I110" s="56"/>
      <c r="J110" s="524"/>
      <c r="K110" s="525"/>
      <c r="L110" s="525"/>
      <c r="M110" s="525"/>
      <c r="N110" s="525"/>
      <c r="O110" s="525"/>
      <c r="P110" s="525"/>
      <c r="Q110" s="525"/>
      <c r="R110" s="525"/>
      <c r="S110" s="530"/>
      <c r="T110" s="524"/>
      <c r="U110" s="525"/>
      <c r="V110" s="525"/>
      <c r="W110" s="525"/>
      <c r="X110" s="525"/>
      <c r="Y110" s="525"/>
      <c r="Z110" s="525"/>
      <c r="AA110" s="525"/>
      <c r="AB110" s="525"/>
      <c r="AC110" s="530"/>
      <c r="AD110" s="524"/>
      <c r="AE110" s="525"/>
      <c r="AF110" s="525"/>
      <c r="AG110" s="525"/>
      <c r="AH110" s="525"/>
      <c r="AI110" s="525"/>
      <c r="AJ110" s="525"/>
      <c r="AK110" s="525"/>
      <c r="AL110" s="525"/>
      <c r="AM110" s="530"/>
      <c r="AN110" s="524"/>
      <c r="AO110" s="525"/>
      <c r="AP110" s="525"/>
      <c r="AQ110" s="525"/>
      <c r="AR110" s="525"/>
      <c r="AS110" s="525"/>
      <c r="AT110" s="525"/>
      <c r="AU110" s="525"/>
      <c r="AV110" s="525"/>
      <c r="AW110" s="530"/>
      <c r="AX110" s="524"/>
      <c r="AY110" s="525"/>
      <c r="AZ110" s="525"/>
      <c r="BA110" s="525"/>
      <c r="BB110" s="525"/>
      <c r="BC110" s="525"/>
      <c r="BD110" s="525"/>
      <c r="BE110" s="525"/>
      <c r="BF110" s="525"/>
      <c r="BG110" s="530"/>
      <c r="BH110" s="56"/>
      <c r="BI110" s="56"/>
      <c r="BJ110" s="56"/>
      <c r="BK110" s="56"/>
      <c r="BL110" s="56"/>
      <c r="BM110" s="56"/>
      <c r="BN110" s="56"/>
      <c r="BO110" s="56"/>
      <c r="BP110" s="56"/>
      <c r="BQ110" s="56"/>
      <c r="BR110" s="56"/>
      <c r="BS110" s="56"/>
      <c r="BT110" s="56"/>
      <c r="BU110" s="56"/>
      <c r="BV110" s="56"/>
      <c r="BW110" s="56"/>
      <c r="BX110" s="56"/>
      <c r="BY110" s="56"/>
      <c r="BZ110" s="56"/>
      <c r="CA110" s="56"/>
      <c r="CB110" s="56"/>
      <c r="CC110" s="56"/>
      <c r="CD110" s="56"/>
      <c r="CE110" s="56"/>
      <c r="CF110" s="56"/>
      <c r="CG110" s="56"/>
      <c r="CH110" s="56"/>
      <c r="CI110" s="56"/>
      <c r="CJ110" s="56"/>
      <c r="CK110" s="56"/>
      <c r="CL110" s="56"/>
      <c r="CM110" s="56"/>
      <c r="CN110" s="56"/>
      <c r="CO110" s="56"/>
      <c r="CP110" s="56"/>
      <c r="CQ110" s="56"/>
      <c r="CR110" s="56"/>
      <c r="CS110" s="56"/>
      <c r="CT110" s="56"/>
      <c r="CU110" s="56"/>
      <c r="CV110" s="56"/>
    </row>
    <row r="111" spans="1:100" ht="15" thickBot="1" x14ac:dyDescent="0.4">
      <c r="A111" s="56"/>
      <c r="B111" s="56"/>
      <c r="C111" s="56"/>
      <c r="D111" s="56"/>
      <c r="E111" s="56"/>
      <c r="F111" s="56"/>
      <c r="G111" s="56"/>
      <c r="H111" s="56"/>
      <c r="I111" s="56"/>
      <c r="J111" s="527"/>
      <c r="K111" s="528"/>
      <c r="L111" s="528"/>
      <c r="M111" s="528"/>
      <c r="N111" s="528"/>
      <c r="O111" s="528"/>
      <c r="P111" s="528"/>
      <c r="Q111" s="528"/>
      <c r="R111" s="528"/>
      <c r="S111" s="531"/>
      <c r="T111" s="527"/>
      <c r="U111" s="528"/>
      <c r="V111" s="528"/>
      <c r="W111" s="528"/>
      <c r="X111" s="528"/>
      <c r="Y111" s="528"/>
      <c r="Z111" s="528"/>
      <c r="AA111" s="528"/>
      <c r="AB111" s="528"/>
      <c r="AC111" s="531"/>
      <c r="AD111" s="527"/>
      <c r="AE111" s="528"/>
      <c r="AF111" s="528"/>
      <c r="AG111" s="528"/>
      <c r="AH111" s="528"/>
      <c r="AI111" s="528"/>
      <c r="AJ111" s="528"/>
      <c r="AK111" s="528"/>
      <c r="AL111" s="528"/>
      <c r="AM111" s="531"/>
      <c r="AN111" s="527"/>
      <c r="AO111" s="528"/>
      <c r="AP111" s="528"/>
      <c r="AQ111" s="528"/>
      <c r="AR111" s="528"/>
      <c r="AS111" s="528"/>
      <c r="AT111" s="528"/>
      <c r="AU111" s="528"/>
      <c r="AV111" s="528"/>
      <c r="AW111" s="531"/>
      <c r="AX111" s="527"/>
      <c r="AY111" s="528"/>
      <c r="AZ111" s="528"/>
      <c r="BA111" s="528"/>
      <c r="BB111" s="528"/>
      <c r="BC111" s="528"/>
      <c r="BD111" s="528"/>
      <c r="BE111" s="528"/>
      <c r="BF111" s="528"/>
      <c r="BG111" s="531"/>
      <c r="BH111" s="56"/>
      <c r="BI111" s="56"/>
      <c r="BJ111" s="56"/>
      <c r="BK111" s="56"/>
      <c r="BL111" s="56"/>
      <c r="BM111" s="56"/>
      <c r="BN111" s="56"/>
      <c r="BO111" s="56"/>
      <c r="BP111" s="56"/>
      <c r="BQ111" s="56"/>
      <c r="BR111" s="56"/>
      <c r="BS111" s="56"/>
      <c r="BT111" s="56"/>
      <c r="BU111" s="56"/>
      <c r="BV111" s="56"/>
      <c r="BW111" s="56"/>
      <c r="BX111" s="56"/>
      <c r="BY111" s="56"/>
      <c r="BZ111" s="56"/>
      <c r="CA111" s="56"/>
      <c r="CB111" s="56"/>
      <c r="CC111" s="56"/>
      <c r="CD111" s="56"/>
      <c r="CE111" s="56"/>
      <c r="CF111" s="56"/>
      <c r="CG111" s="56"/>
      <c r="CH111" s="56"/>
      <c r="CI111" s="56"/>
      <c r="CJ111" s="56"/>
      <c r="CK111" s="56"/>
      <c r="CL111" s="56"/>
      <c r="CM111" s="56"/>
      <c r="CN111" s="56"/>
      <c r="CO111" s="56"/>
      <c r="CP111" s="56"/>
      <c r="CQ111" s="56"/>
      <c r="CR111" s="56"/>
      <c r="CS111" s="56"/>
      <c r="CT111" s="56"/>
      <c r="CU111" s="56"/>
      <c r="CV111" s="56"/>
    </row>
    <row r="112" spans="1:100" x14ac:dyDescent="0.35">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c r="BJ112" s="56"/>
      <c r="BK112" s="56"/>
      <c r="BL112" s="56"/>
      <c r="BM112" s="56"/>
      <c r="BN112" s="56"/>
      <c r="BO112" s="56"/>
      <c r="BP112" s="56"/>
      <c r="BQ112" s="56"/>
      <c r="BR112" s="56"/>
      <c r="BS112" s="56"/>
      <c r="BT112" s="56"/>
      <c r="BU112" s="56"/>
      <c r="BV112" s="56"/>
      <c r="BW112" s="56"/>
      <c r="BX112" s="56"/>
      <c r="BY112" s="56"/>
      <c r="BZ112" s="56"/>
      <c r="CA112" s="56"/>
      <c r="CB112" s="56"/>
      <c r="CC112" s="56"/>
      <c r="CD112" s="56"/>
      <c r="CE112" s="56"/>
      <c r="CF112" s="56"/>
      <c r="CG112" s="56"/>
      <c r="CH112" s="56"/>
      <c r="CI112" s="56"/>
      <c r="CJ112" s="56"/>
      <c r="CK112" s="56"/>
      <c r="CL112" s="56"/>
      <c r="CM112" s="56"/>
      <c r="CN112" s="56"/>
      <c r="CO112" s="56"/>
      <c r="CP112" s="56"/>
      <c r="CQ112" s="56"/>
      <c r="CR112" s="56"/>
      <c r="CS112" s="56"/>
      <c r="CT112" s="56"/>
      <c r="CU112" s="56"/>
      <c r="CV112" s="56"/>
    </row>
    <row r="113" spans="1:100" ht="15" customHeight="1" x14ac:dyDescent="0.35">
      <c r="A113" s="56"/>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56"/>
      <c r="BJ113" s="56"/>
      <c r="BK113" s="56"/>
      <c r="BL113" s="56"/>
      <c r="BM113" s="56"/>
      <c r="BN113" s="56"/>
      <c r="BO113" s="56"/>
      <c r="BP113" s="56"/>
      <c r="BQ113" s="56"/>
      <c r="BR113" s="56"/>
      <c r="BS113" s="56"/>
      <c r="BT113" s="56"/>
      <c r="BU113" s="56"/>
      <c r="BV113" s="56"/>
      <c r="BW113" s="56"/>
      <c r="BX113" s="56"/>
      <c r="BY113" s="56"/>
      <c r="BZ113" s="56"/>
      <c r="CA113" s="56"/>
      <c r="CB113" s="56"/>
      <c r="CC113" s="56"/>
      <c r="CD113" s="56"/>
      <c r="CE113" s="56"/>
      <c r="CF113" s="56"/>
      <c r="CG113" s="56"/>
      <c r="CH113" s="56"/>
      <c r="CI113" s="56"/>
      <c r="CJ113" s="56"/>
      <c r="CK113" s="56"/>
      <c r="CL113" s="56"/>
      <c r="CM113" s="56"/>
      <c r="CN113" s="56"/>
      <c r="CO113" s="56"/>
      <c r="CP113" s="56"/>
      <c r="CQ113" s="56"/>
      <c r="CR113" s="56"/>
      <c r="CS113" s="56"/>
      <c r="CT113" s="56"/>
      <c r="CU113" s="56"/>
      <c r="CV113" s="56"/>
    </row>
    <row r="114" spans="1:100" ht="15" customHeight="1" x14ac:dyDescent="0.35">
      <c r="A114" s="56"/>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56"/>
      <c r="BJ114" s="56"/>
      <c r="BK114" s="56"/>
      <c r="BL114" s="56"/>
      <c r="BM114" s="56"/>
      <c r="BN114" s="56"/>
      <c r="BO114" s="56"/>
      <c r="BP114" s="56"/>
      <c r="BQ114" s="56"/>
      <c r="BR114" s="56"/>
      <c r="BS114" s="56"/>
      <c r="BT114" s="56"/>
      <c r="BU114" s="56"/>
      <c r="BV114" s="56"/>
      <c r="BW114" s="56"/>
      <c r="BX114" s="56"/>
      <c r="BY114" s="56"/>
      <c r="BZ114" s="56"/>
      <c r="CA114" s="56"/>
      <c r="CB114" s="56"/>
      <c r="CC114" s="56"/>
      <c r="CD114" s="56"/>
      <c r="CE114" s="56"/>
      <c r="CF114" s="56"/>
      <c r="CG114" s="56"/>
      <c r="CH114" s="56"/>
      <c r="CI114" s="56"/>
      <c r="CJ114" s="56"/>
      <c r="CK114" s="56"/>
      <c r="CL114" s="56"/>
      <c r="CM114" s="56"/>
      <c r="CN114" s="56"/>
      <c r="CO114" s="56"/>
      <c r="CP114" s="56"/>
      <c r="CQ114" s="56"/>
      <c r="CR114" s="56"/>
      <c r="CS114" s="56"/>
      <c r="CT114" s="56"/>
      <c r="CU114" s="56"/>
      <c r="CV114" s="56"/>
    </row>
    <row r="115" spans="1:100" x14ac:dyDescent="0.35">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6"/>
      <c r="BJ115" s="56"/>
      <c r="BK115" s="56"/>
      <c r="BL115" s="56"/>
      <c r="BM115" s="56"/>
      <c r="BN115" s="56"/>
      <c r="BO115" s="56"/>
      <c r="BP115" s="56"/>
      <c r="BQ115" s="56"/>
      <c r="BR115" s="56"/>
      <c r="BS115" s="56"/>
      <c r="BT115" s="56"/>
      <c r="BU115" s="56"/>
      <c r="BV115" s="56"/>
      <c r="BW115" s="56"/>
      <c r="BX115" s="56"/>
      <c r="BY115" s="56"/>
      <c r="BZ115" s="56"/>
      <c r="CA115" s="56"/>
      <c r="CB115" s="56"/>
      <c r="CC115" s="56"/>
      <c r="CD115" s="56"/>
      <c r="CE115" s="56"/>
      <c r="CF115" s="56"/>
      <c r="CG115" s="56"/>
      <c r="CH115" s="56"/>
      <c r="CI115" s="56"/>
      <c r="CJ115" s="56"/>
      <c r="CK115" s="56"/>
      <c r="CL115" s="56"/>
      <c r="CM115" s="56"/>
      <c r="CN115" s="56"/>
      <c r="CO115" s="56"/>
      <c r="CP115" s="56"/>
      <c r="CQ115" s="56"/>
      <c r="CR115" s="56"/>
      <c r="CS115" s="56"/>
      <c r="CT115" s="56"/>
      <c r="CU115" s="56"/>
      <c r="CV115" s="56"/>
    </row>
    <row r="116" spans="1:100" x14ac:dyDescent="0.35">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c r="BJ116" s="56"/>
      <c r="BK116" s="56"/>
      <c r="BL116" s="56"/>
      <c r="BM116" s="56"/>
      <c r="BN116" s="56"/>
      <c r="BO116" s="56"/>
      <c r="BP116" s="56"/>
      <c r="BQ116" s="56"/>
      <c r="BR116" s="56"/>
      <c r="BS116" s="56"/>
      <c r="BT116" s="56"/>
      <c r="BU116" s="56"/>
      <c r="BV116" s="56"/>
      <c r="BW116" s="56"/>
      <c r="BX116" s="56"/>
      <c r="BY116" s="56"/>
      <c r="BZ116" s="56"/>
      <c r="CA116" s="56"/>
      <c r="CB116" s="56"/>
      <c r="CC116" s="56"/>
      <c r="CD116" s="56"/>
      <c r="CE116" s="56"/>
      <c r="CF116" s="56"/>
      <c r="CG116" s="56"/>
      <c r="CH116" s="56"/>
      <c r="CI116" s="56"/>
      <c r="CJ116" s="56"/>
      <c r="CK116" s="56"/>
      <c r="CL116" s="56"/>
      <c r="CM116" s="56"/>
      <c r="CN116" s="56"/>
      <c r="CO116" s="56"/>
      <c r="CP116" s="56"/>
      <c r="CQ116" s="56"/>
      <c r="CR116" s="56"/>
      <c r="CS116" s="56"/>
      <c r="CT116" s="56"/>
      <c r="CU116" s="56"/>
      <c r="CV116" s="56"/>
    </row>
    <row r="117" spans="1:100" x14ac:dyDescent="0.35">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c r="BJ117" s="56"/>
      <c r="BK117" s="56"/>
      <c r="BL117" s="56"/>
      <c r="BM117" s="56"/>
      <c r="BN117" s="56"/>
      <c r="BO117" s="56"/>
      <c r="BP117" s="56"/>
      <c r="BQ117" s="56"/>
      <c r="BR117" s="56"/>
      <c r="BS117" s="56"/>
      <c r="BT117" s="56"/>
      <c r="BU117" s="56"/>
      <c r="BV117" s="56"/>
      <c r="BW117" s="56"/>
      <c r="BX117" s="56"/>
      <c r="BY117" s="56"/>
      <c r="BZ117" s="56"/>
      <c r="CA117" s="56"/>
      <c r="CB117" s="56"/>
      <c r="CC117" s="56"/>
      <c r="CD117" s="56"/>
      <c r="CE117" s="56"/>
      <c r="CF117" s="56"/>
      <c r="CG117" s="56"/>
      <c r="CH117" s="56"/>
      <c r="CI117" s="56"/>
      <c r="CJ117" s="56"/>
      <c r="CK117" s="56"/>
      <c r="CL117" s="56"/>
      <c r="CM117" s="56"/>
      <c r="CN117" s="56"/>
      <c r="CO117" s="56"/>
      <c r="CP117" s="56"/>
      <c r="CQ117" s="56"/>
      <c r="CR117" s="56"/>
      <c r="CS117" s="56"/>
      <c r="CT117" s="56"/>
      <c r="CU117" s="56"/>
      <c r="CV117" s="56"/>
    </row>
    <row r="118" spans="1:100" x14ac:dyDescent="0.35">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c r="BI118" s="56"/>
      <c r="BJ118" s="56"/>
      <c r="BK118" s="56"/>
      <c r="BL118" s="56"/>
      <c r="BM118" s="56"/>
      <c r="BN118" s="56"/>
      <c r="BO118" s="56"/>
      <c r="BP118" s="56"/>
      <c r="BQ118" s="56"/>
      <c r="BR118" s="56"/>
      <c r="BS118" s="56"/>
      <c r="BT118" s="56"/>
      <c r="BU118" s="56"/>
      <c r="BV118" s="56"/>
      <c r="BW118" s="56"/>
      <c r="BX118" s="56"/>
      <c r="BY118" s="56"/>
      <c r="BZ118" s="56"/>
      <c r="CA118" s="56"/>
      <c r="CB118" s="56"/>
      <c r="CC118" s="56"/>
      <c r="CD118" s="56"/>
      <c r="CE118" s="56"/>
      <c r="CF118" s="56"/>
      <c r="CG118" s="56"/>
      <c r="CH118" s="56"/>
      <c r="CI118" s="56"/>
      <c r="CJ118" s="56"/>
      <c r="CK118" s="56"/>
      <c r="CL118" s="56"/>
      <c r="CM118" s="56"/>
      <c r="CN118" s="56"/>
      <c r="CO118" s="56"/>
      <c r="CP118" s="56"/>
      <c r="CQ118" s="56"/>
      <c r="CR118" s="56"/>
      <c r="CS118" s="56"/>
      <c r="CT118" s="56"/>
      <c r="CU118" s="56"/>
      <c r="CV118" s="56"/>
    </row>
    <row r="119" spans="1:100" x14ac:dyDescent="0.35">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c r="BI119" s="56"/>
      <c r="BJ119" s="56"/>
      <c r="BK119" s="56"/>
      <c r="BL119" s="56"/>
      <c r="BM119" s="56"/>
      <c r="BN119" s="56"/>
      <c r="BO119" s="56"/>
      <c r="BP119" s="56"/>
      <c r="BQ119" s="56"/>
      <c r="BR119" s="56"/>
      <c r="BS119" s="56"/>
      <c r="BT119" s="56"/>
      <c r="BU119" s="56"/>
      <c r="BV119" s="56"/>
      <c r="BW119" s="56"/>
      <c r="BX119" s="56"/>
      <c r="BY119" s="56"/>
      <c r="BZ119" s="56"/>
      <c r="CA119" s="56"/>
      <c r="CB119" s="56"/>
      <c r="CC119" s="56"/>
      <c r="CD119" s="56"/>
      <c r="CE119" s="56"/>
      <c r="CF119" s="56"/>
      <c r="CG119" s="56"/>
      <c r="CH119" s="56"/>
      <c r="CI119" s="56"/>
      <c r="CJ119" s="56"/>
      <c r="CK119" s="56"/>
      <c r="CL119" s="56"/>
      <c r="CM119" s="56"/>
      <c r="CN119" s="56"/>
      <c r="CO119" s="56"/>
      <c r="CP119" s="56"/>
      <c r="CQ119" s="56"/>
      <c r="CR119" s="56"/>
      <c r="CS119" s="56"/>
      <c r="CT119" s="56"/>
      <c r="CU119" s="56"/>
      <c r="CV119" s="56"/>
    </row>
    <row r="120" spans="1:100" x14ac:dyDescent="0.35">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c r="BJ120" s="56"/>
      <c r="BK120" s="56"/>
      <c r="BL120" s="56"/>
      <c r="BM120" s="56"/>
      <c r="BN120" s="56"/>
      <c r="BO120" s="56"/>
      <c r="BP120" s="56"/>
      <c r="BQ120" s="56"/>
      <c r="BR120" s="56"/>
      <c r="BS120" s="56"/>
      <c r="BT120" s="56"/>
      <c r="BU120" s="56"/>
      <c r="BV120" s="56"/>
      <c r="BW120" s="56"/>
      <c r="BX120" s="56"/>
      <c r="BY120" s="56"/>
      <c r="BZ120" s="56"/>
      <c r="CA120" s="56"/>
      <c r="CB120" s="56"/>
      <c r="CC120" s="56"/>
      <c r="CD120" s="56"/>
      <c r="CE120" s="56"/>
      <c r="CF120" s="56"/>
      <c r="CG120" s="56"/>
      <c r="CH120" s="56"/>
      <c r="CI120" s="56"/>
      <c r="CJ120" s="56"/>
      <c r="CK120" s="56"/>
      <c r="CL120" s="56"/>
      <c r="CM120" s="56"/>
      <c r="CN120" s="56"/>
      <c r="CO120" s="56"/>
      <c r="CP120" s="56"/>
      <c r="CQ120" s="56"/>
      <c r="CR120" s="56"/>
      <c r="CS120" s="56"/>
      <c r="CT120" s="56"/>
      <c r="CU120" s="56"/>
      <c r="CV120" s="56"/>
    </row>
    <row r="121" spans="1:100" ht="21" x14ac:dyDescent="0.35">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60"/>
      <c r="BJ121" s="60"/>
      <c r="BK121" s="60"/>
      <c r="BL121" s="60"/>
      <c r="BM121" s="60"/>
      <c r="BN121" s="60"/>
      <c r="BO121" s="56"/>
      <c r="BP121" s="56"/>
      <c r="BQ121" s="56"/>
      <c r="BR121" s="56"/>
      <c r="BS121" s="56"/>
      <c r="BT121" s="56"/>
      <c r="BU121" s="56"/>
      <c r="BV121" s="56"/>
      <c r="BW121" s="56"/>
      <c r="BX121" s="56"/>
      <c r="BY121" s="56"/>
      <c r="BZ121" s="56"/>
      <c r="CA121" s="56"/>
      <c r="CB121" s="56"/>
      <c r="CC121" s="56"/>
      <c r="CD121" s="56"/>
      <c r="CE121" s="56"/>
      <c r="CF121" s="56"/>
      <c r="CG121" s="56"/>
      <c r="CH121" s="56"/>
      <c r="CI121" s="56"/>
      <c r="CJ121" s="56"/>
      <c r="CK121" s="56"/>
      <c r="CL121" s="56"/>
      <c r="CM121" s="56"/>
      <c r="CN121" s="56"/>
      <c r="CO121" s="56"/>
      <c r="CP121" s="56"/>
      <c r="CQ121" s="56"/>
      <c r="CR121" s="56"/>
      <c r="CS121" s="56"/>
      <c r="CT121" s="56"/>
      <c r="CU121" s="56"/>
      <c r="CV121" s="56"/>
    </row>
    <row r="122" spans="1:100" ht="21" x14ac:dyDescent="0.35">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60"/>
      <c r="BJ122" s="60"/>
      <c r="BK122" s="60"/>
      <c r="BL122" s="60"/>
      <c r="BM122" s="60"/>
      <c r="BN122" s="60"/>
      <c r="BO122" s="56"/>
      <c r="BP122" s="56"/>
      <c r="BQ122" s="56"/>
      <c r="BR122" s="56"/>
      <c r="BS122" s="56"/>
      <c r="BT122" s="56"/>
      <c r="BU122" s="56"/>
      <c r="BV122" s="56"/>
      <c r="BW122" s="56"/>
      <c r="BX122" s="56"/>
      <c r="BY122" s="56"/>
      <c r="BZ122" s="56"/>
      <c r="CA122" s="56"/>
      <c r="CB122" s="56"/>
      <c r="CC122" s="56"/>
      <c r="CD122" s="56"/>
      <c r="CE122" s="56"/>
      <c r="CF122" s="56"/>
      <c r="CG122" s="56"/>
      <c r="CH122" s="56"/>
      <c r="CI122" s="56"/>
      <c r="CJ122" s="56"/>
      <c r="CK122" s="56"/>
      <c r="CL122" s="56"/>
      <c r="CM122" s="56"/>
      <c r="CN122" s="56"/>
      <c r="CO122" s="56"/>
      <c r="CP122" s="56"/>
      <c r="CQ122" s="56"/>
      <c r="CR122" s="56"/>
      <c r="CS122" s="56"/>
      <c r="CT122" s="56"/>
      <c r="CU122" s="56"/>
      <c r="CV122" s="56"/>
    </row>
    <row r="123" spans="1:100" x14ac:dyDescent="0.35">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6"/>
      <c r="BQ123" s="56"/>
      <c r="BR123" s="56"/>
      <c r="BS123" s="56"/>
      <c r="BT123" s="56"/>
      <c r="BU123" s="56"/>
      <c r="BV123" s="56"/>
      <c r="BW123" s="56"/>
      <c r="BX123" s="56"/>
      <c r="BY123" s="56"/>
      <c r="BZ123" s="56"/>
      <c r="CA123" s="56"/>
      <c r="CB123" s="56"/>
      <c r="CC123" s="56"/>
      <c r="CD123" s="56"/>
      <c r="CE123" s="56"/>
      <c r="CF123" s="56"/>
      <c r="CG123" s="56"/>
      <c r="CH123" s="56"/>
      <c r="CI123" s="56"/>
      <c r="CJ123" s="56"/>
      <c r="CK123" s="56"/>
      <c r="CL123" s="56"/>
      <c r="CM123" s="56"/>
      <c r="CN123" s="56"/>
      <c r="CO123" s="56"/>
      <c r="CP123" s="56"/>
      <c r="CQ123" s="56"/>
      <c r="CR123" s="56"/>
      <c r="CS123" s="56"/>
      <c r="CT123" s="56"/>
      <c r="CU123" s="56"/>
      <c r="CV123" s="56"/>
    </row>
    <row r="124" spans="1:100" x14ac:dyDescent="0.35">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c r="BJ124" s="56"/>
      <c r="BK124" s="56"/>
      <c r="BL124" s="56"/>
      <c r="BM124" s="56"/>
      <c r="BN124" s="56"/>
      <c r="BO124" s="56"/>
      <c r="BP124" s="56"/>
      <c r="BQ124" s="56"/>
      <c r="BR124" s="56"/>
      <c r="BS124" s="56"/>
      <c r="BT124" s="56"/>
      <c r="BU124" s="56"/>
      <c r="BV124" s="56"/>
      <c r="BW124" s="56"/>
      <c r="BX124" s="56"/>
      <c r="BY124" s="56"/>
      <c r="BZ124" s="56"/>
      <c r="CA124" s="56"/>
      <c r="CB124" s="56"/>
      <c r="CC124" s="56"/>
      <c r="CD124" s="56"/>
      <c r="CE124" s="56"/>
      <c r="CF124" s="56"/>
      <c r="CG124" s="56"/>
      <c r="CH124" s="56"/>
      <c r="CI124" s="56"/>
      <c r="CJ124" s="56"/>
      <c r="CK124" s="56"/>
      <c r="CL124" s="56"/>
      <c r="CM124" s="56"/>
      <c r="CN124" s="56"/>
      <c r="CO124" s="56"/>
      <c r="CP124" s="56"/>
      <c r="CQ124" s="56"/>
      <c r="CR124" s="56"/>
      <c r="CS124" s="56"/>
      <c r="CT124" s="56"/>
      <c r="CU124" s="56"/>
      <c r="CV124" s="56"/>
    </row>
    <row r="125" spans="1:100" x14ac:dyDescent="0.35">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c r="BJ125" s="56"/>
      <c r="BK125" s="56"/>
      <c r="BL125" s="56"/>
      <c r="BM125" s="56"/>
      <c r="BN125" s="56"/>
      <c r="BO125" s="56"/>
      <c r="BP125" s="56"/>
      <c r="BQ125" s="56"/>
      <c r="BR125" s="56"/>
      <c r="BS125" s="56"/>
      <c r="BT125" s="56"/>
      <c r="BU125" s="56"/>
      <c r="BV125" s="56"/>
      <c r="BW125" s="56"/>
      <c r="BX125" s="56"/>
      <c r="BY125" s="56"/>
      <c r="BZ125" s="56"/>
      <c r="CA125" s="56"/>
      <c r="CB125" s="56"/>
      <c r="CC125" s="56"/>
      <c r="CD125" s="56"/>
      <c r="CE125" s="56"/>
      <c r="CF125" s="56"/>
      <c r="CG125" s="56"/>
      <c r="CH125" s="56"/>
      <c r="CI125" s="56"/>
      <c r="CJ125" s="56"/>
      <c r="CK125" s="56"/>
      <c r="CL125" s="56"/>
      <c r="CM125" s="56"/>
      <c r="CN125" s="56"/>
      <c r="CO125" s="56"/>
      <c r="CP125" s="56"/>
      <c r="CQ125" s="56"/>
      <c r="CR125" s="56"/>
      <c r="CS125" s="56"/>
      <c r="CT125" s="56"/>
      <c r="CU125" s="56"/>
      <c r="CV125" s="56"/>
    </row>
    <row r="126" spans="1:100" x14ac:dyDescent="0.35">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56"/>
      <c r="CE126" s="56"/>
      <c r="CF126" s="56"/>
      <c r="CG126" s="56"/>
      <c r="CH126" s="56"/>
      <c r="CI126" s="56"/>
      <c r="CJ126" s="56"/>
      <c r="CK126" s="56"/>
      <c r="CL126" s="56"/>
      <c r="CM126" s="56"/>
      <c r="CN126" s="56"/>
      <c r="CO126" s="56"/>
      <c r="CP126" s="56"/>
      <c r="CQ126" s="56"/>
      <c r="CR126" s="56"/>
      <c r="CS126" s="56"/>
      <c r="CT126" s="56"/>
      <c r="CU126" s="56"/>
      <c r="CV126" s="56"/>
    </row>
    <row r="127" spans="1:100" x14ac:dyDescent="0.35">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c r="BJ127" s="56"/>
      <c r="BK127" s="56"/>
      <c r="BL127" s="56"/>
      <c r="BM127" s="56"/>
      <c r="BN127" s="56"/>
      <c r="BO127" s="56"/>
      <c r="BP127" s="56"/>
      <c r="BQ127" s="56"/>
      <c r="BR127" s="56"/>
      <c r="BS127" s="56"/>
      <c r="BT127" s="56"/>
      <c r="BU127" s="56"/>
      <c r="BV127" s="56"/>
      <c r="BW127" s="56"/>
      <c r="BX127" s="56"/>
      <c r="BY127" s="56"/>
      <c r="BZ127" s="56"/>
      <c r="CA127" s="56"/>
      <c r="CB127" s="56"/>
      <c r="CC127" s="56"/>
      <c r="CD127" s="56"/>
      <c r="CE127" s="56"/>
      <c r="CF127" s="56"/>
      <c r="CG127" s="56"/>
      <c r="CH127" s="56"/>
      <c r="CI127" s="56"/>
      <c r="CJ127" s="56"/>
      <c r="CK127" s="56"/>
      <c r="CL127" s="56"/>
      <c r="CM127" s="56"/>
      <c r="CN127" s="56"/>
      <c r="CO127" s="56"/>
      <c r="CP127" s="56"/>
      <c r="CQ127" s="56"/>
      <c r="CR127" s="56"/>
      <c r="CS127" s="56"/>
      <c r="CT127" s="56"/>
      <c r="CU127" s="56"/>
      <c r="CV127" s="56"/>
    </row>
    <row r="128" spans="1:100" x14ac:dyDescent="0.35">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c r="BF128" s="56"/>
      <c r="BG128" s="56"/>
      <c r="BH128" s="56"/>
      <c r="BI128" s="56"/>
      <c r="BJ128" s="56"/>
      <c r="BK128" s="56"/>
      <c r="BL128" s="56"/>
      <c r="BM128" s="56"/>
      <c r="BN128" s="56"/>
      <c r="BO128" s="56"/>
      <c r="BP128" s="56"/>
      <c r="BQ128" s="56"/>
      <c r="BR128" s="56"/>
      <c r="BS128" s="56"/>
      <c r="BT128" s="56"/>
      <c r="BU128" s="56"/>
      <c r="BV128" s="56"/>
      <c r="BW128" s="56"/>
      <c r="BX128" s="56"/>
      <c r="BY128" s="56"/>
      <c r="BZ128" s="56"/>
      <c r="CA128" s="56"/>
      <c r="CB128" s="56"/>
      <c r="CC128" s="56"/>
      <c r="CD128" s="56"/>
      <c r="CE128" s="56"/>
      <c r="CF128" s="56"/>
      <c r="CG128" s="56"/>
      <c r="CH128" s="56"/>
      <c r="CI128" s="56"/>
      <c r="CJ128" s="56"/>
      <c r="CK128" s="56"/>
      <c r="CL128" s="56"/>
      <c r="CM128" s="56"/>
      <c r="CN128" s="56"/>
      <c r="CO128" s="56"/>
      <c r="CP128" s="56"/>
      <c r="CQ128" s="56"/>
      <c r="CR128" s="56"/>
      <c r="CS128" s="56"/>
      <c r="CT128" s="56"/>
      <c r="CU128" s="56"/>
      <c r="CV128" s="56"/>
    </row>
    <row r="129" spans="1:100" x14ac:dyDescent="0.35">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c r="BG129" s="56"/>
      <c r="BH129" s="56"/>
      <c r="BI129" s="56"/>
      <c r="BJ129" s="56"/>
      <c r="BK129" s="56"/>
      <c r="BL129" s="56"/>
      <c r="BM129" s="56"/>
      <c r="BN129" s="56"/>
      <c r="BO129" s="56"/>
      <c r="BP129" s="56"/>
      <c r="BQ129" s="56"/>
      <c r="BR129" s="56"/>
      <c r="BS129" s="56"/>
      <c r="BT129" s="56"/>
      <c r="BU129" s="56"/>
      <c r="BV129" s="56"/>
      <c r="BW129" s="56"/>
      <c r="BX129" s="56"/>
      <c r="BY129" s="56"/>
      <c r="BZ129" s="56"/>
      <c r="CA129" s="56"/>
      <c r="CB129" s="56"/>
      <c r="CC129" s="56"/>
      <c r="CD129" s="56"/>
      <c r="CE129" s="56"/>
      <c r="CF129" s="56"/>
      <c r="CG129" s="56"/>
      <c r="CH129" s="56"/>
      <c r="CI129" s="56"/>
      <c r="CJ129" s="56"/>
      <c r="CK129" s="56"/>
      <c r="CL129" s="56"/>
      <c r="CM129" s="56"/>
      <c r="CN129" s="56"/>
      <c r="CO129" s="56"/>
      <c r="CP129" s="56"/>
      <c r="CQ129" s="56"/>
      <c r="CR129" s="56"/>
      <c r="CS129" s="56"/>
      <c r="CT129" s="56"/>
      <c r="CU129" s="56"/>
      <c r="CV129" s="56"/>
    </row>
    <row r="130" spans="1:100" x14ac:dyDescent="0.35">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c r="BG130" s="56"/>
      <c r="BH130" s="56"/>
      <c r="BI130" s="56"/>
      <c r="BJ130" s="56"/>
      <c r="BK130" s="56"/>
      <c r="BL130" s="56"/>
      <c r="BM130" s="56"/>
      <c r="BN130" s="56"/>
      <c r="BO130" s="56"/>
      <c r="BP130" s="56"/>
      <c r="BQ130" s="56"/>
      <c r="BR130" s="56"/>
      <c r="BS130" s="56"/>
      <c r="BT130" s="56"/>
      <c r="BU130" s="56"/>
      <c r="BV130" s="56"/>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row>
    <row r="131" spans="1:100" x14ac:dyDescent="0.35">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c r="BJ131" s="56"/>
      <c r="BK131" s="56"/>
      <c r="BL131" s="56"/>
      <c r="BM131" s="56"/>
      <c r="BN131" s="56"/>
      <c r="BO131" s="56"/>
      <c r="BP131" s="56"/>
      <c r="BQ131" s="56"/>
      <c r="BR131" s="56"/>
      <c r="BS131" s="56"/>
      <c r="BT131" s="56"/>
      <c r="BU131" s="56"/>
      <c r="BV131" s="56"/>
      <c r="BW131" s="56"/>
      <c r="BX131" s="56"/>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row>
    <row r="132" spans="1:100" x14ac:dyDescent="0.35">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c r="BJ132" s="56"/>
      <c r="BK132" s="56"/>
      <c r="BL132" s="56"/>
      <c r="BM132" s="56"/>
      <c r="BN132" s="56"/>
      <c r="BO132" s="56"/>
      <c r="BP132" s="56"/>
      <c r="BQ132" s="56"/>
      <c r="BR132" s="56"/>
      <c r="BS132" s="56"/>
      <c r="BT132" s="56"/>
      <c r="BU132" s="56"/>
      <c r="BV132" s="56"/>
      <c r="BW132" s="56"/>
      <c r="BX132" s="56"/>
      <c r="BY132" s="56"/>
      <c r="BZ132" s="56"/>
      <c r="CA132" s="56"/>
      <c r="CB132" s="56"/>
      <c r="CC132" s="56"/>
      <c r="CD132" s="56"/>
      <c r="CE132" s="56"/>
      <c r="CF132" s="56"/>
      <c r="CG132" s="56"/>
      <c r="CH132" s="56"/>
      <c r="CI132" s="56"/>
      <c r="CJ132" s="56"/>
      <c r="CK132" s="56"/>
      <c r="CL132" s="56"/>
      <c r="CM132" s="56"/>
      <c r="CN132" s="56"/>
      <c r="CO132" s="56"/>
      <c r="CP132" s="56"/>
      <c r="CQ132" s="56"/>
      <c r="CR132" s="56"/>
      <c r="CS132" s="56"/>
      <c r="CT132" s="56"/>
      <c r="CU132" s="56"/>
      <c r="CV132" s="56"/>
    </row>
    <row r="133" spans="1:100" x14ac:dyDescent="0.35">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c r="BJ133" s="56"/>
      <c r="BK133" s="56"/>
      <c r="BL133" s="56"/>
      <c r="BM133" s="56"/>
      <c r="BN133" s="56"/>
      <c r="BO133" s="56"/>
      <c r="BP133" s="56"/>
      <c r="BQ133" s="56"/>
      <c r="BR133" s="56"/>
      <c r="BS133" s="56"/>
      <c r="BT133" s="56"/>
      <c r="BU133" s="56"/>
      <c r="BV133" s="56"/>
      <c r="BW133" s="56"/>
      <c r="BX133" s="56"/>
      <c r="BY133" s="56"/>
      <c r="BZ133" s="56"/>
      <c r="CA133" s="56"/>
      <c r="CB133" s="56"/>
      <c r="CC133" s="56"/>
      <c r="CD133" s="56"/>
      <c r="CE133" s="56"/>
      <c r="CF133" s="56"/>
      <c r="CG133" s="56"/>
      <c r="CH133" s="56"/>
      <c r="CI133" s="56"/>
      <c r="CJ133" s="56"/>
      <c r="CK133" s="56"/>
      <c r="CL133" s="56"/>
      <c r="CM133" s="56"/>
      <c r="CN133" s="56"/>
      <c r="CO133" s="56"/>
      <c r="CP133" s="56"/>
      <c r="CQ133" s="56"/>
      <c r="CR133" s="56"/>
      <c r="CS133" s="56"/>
      <c r="CT133" s="56"/>
      <c r="CU133" s="56"/>
      <c r="CV133" s="56"/>
    </row>
    <row r="134" spans="1:100" x14ac:dyDescent="0.35">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c r="BJ134" s="56"/>
      <c r="BK134" s="56"/>
      <c r="BL134" s="56"/>
      <c r="BM134" s="56"/>
      <c r="BN134" s="56"/>
      <c r="BO134" s="56"/>
      <c r="BP134" s="56"/>
      <c r="BQ134" s="56"/>
      <c r="BR134" s="56"/>
      <c r="BS134" s="56"/>
      <c r="BT134" s="56"/>
      <c r="BU134" s="56"/>
      <c r="BV134" s="56"/>
      <c r="BW134" s="56"/>
      <c r="BX134" s="56"/>
      <c r="BY134" s="56"/>
      <c r="BZ134" s="56"/>
      <c r="CA134" s="56"/>
      <c r="CB134" s="56"/>
      <c r="CC134" s="56"/>
      <c r="CD134" s="56"/>
      <c r="CE134" s="56"/>
      <c r="CF134" s="56"/>
      <c r="CG134" s="56"/>
      <c r="CH134" s="56"/>
      <c r="CI134" s="56"/>
      <c r="CJ134" s="56"/>
      <c r="CK134" s="56"/>
      <c r="CL134" s="56"/>
      <c r="CM134" s="56"/>
      <c r="CN134" s="56"/>
      <c r="CO134" s="56"/>
      <c r="CP134" s="56"/>
      <c r="CQ134" s="56"/>
      <c r="CR134" s="56"/>
      <c r="CS134" s="56"/>
      <c r="CT134" s="56"/>
      <c r="CU134" s="56"/>
      <c r="CV134" s="56"/>
    </row>
    <row r="135" spans="1:100" x14ac:dyDescent="0.35">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c r="BL135" s="56"/>
      <c r="BM135" s="56"/>
      <c r="BN135" s="56"/>
      <c r="BO135" s="56"/>
      <c r="BP135" s="56"/>
      <c r="BQ135" s="56"/>
      <c r="BR135" s="56"/>
      <c r="BS135" s="56"/>
      <c r="BT135" s="56"/>
      <c r="BU135" s="56"/>
      <c r="BV135" s="56"/>
      <c r="BW135" s="56"/>
      <c r="BX135" s="56"/>
      <c r="BY135" s="56"/>
      <c r="BZ135" s="56"/>
      <c r="CA135" s="56"/>
      <c r="CB135" s="56"/>
      <c r="CC135" s="56"/>
      <c r="CD135" s="56"/>
      <c r="CE135" s="56"/>
      <c r="CF135" s="56"/>
      <c r="CG135" s="56"/>
      <c r="CH135" s="56"/>
      <c r="CI135" s="56"/>
      <c r="CJ135" s="56"/>
      <c r="CK135" s="56"/>
      <c r="CL135" s="56"/>
      <c r="CM135" s="56"/>
      <c r="CN135" s="56"/>
      <c r="CO135" s="56"/>
      <c r="CP135" s="56"/>
      <c r="CQ135" s="56"/>
      <c r="CR135" s="56"/>
      <c r="CS135" s="56"/>
      <c r="CT135" s="56"/>
      <c r="CU135" s="56"/>
      <c r="CV135" s="56"/>
    </row>
    <row r="136" spans="1:100" x14ac:dyDescent="0.35">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6"/>
      <c r="BS136" s="56"/>
      <c r="BT136" s="56"/>
      <c r="BU136" s="56"/>
      <c r="BV136" s="56"/>
      <c r="BW136" s="56"/>
      <c r="BX136" s="56"/>
      <c r="BY136" s="56"/>
      <c r="BZ136" s="56"/>
      <c r="CA136" s="56"/>
      <c r="CB136" s="56"/>
      <c r="CC136" s="56"/>
      <c r="CD136" s="56"/>
      <c r="CE136" s="56"/>
      <c r="CF136" s="56"/>
      <c r="CG136" s="56"/>
      <c r="CH136" s="56"/>
      <c r="CI136" s="56"/>
      <c r="CJ136" s="56"/>
      <c r="CK136" s="56"/>
      <c r="CL136" s="56"/>
      <c r="CM136" s="56"/>
      <c r="CN136" s="56"/>
      <c r="CO136" s="56"/>
      <c r="CP136" s="56"/>
      <c r="CQ136" s="56"/>
      <c r="CR136" s="56"/>
      <c r="CS136" s="56"/>
      <c r="CT136" s="56"/>
      <c r="CU136" s="56"/>
      <c r="CV136" s="56"/>
    </row>
    <row r="137" spans="1:100" x14ac:dyDescent="0.35">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c r="BI137" s="56"/>
      <c r="BJ137" s="56"/>
      <c r="BK137" s="56"/>
      <c r="BL137" s="56"/>
      <c r="BM137" s="56"/>
      <c r="BN137" s="56"/>
      <c r="BO137" s="56"/>
      <c r="BP137" s="56"/>
      <c r="BQ137" s="56"/>
      <c r="BR137" s="56"/>
      <c r="BS137" s="56"/>
      <c r="BT137" s="56"/>
      <c r="BU137" s="56"/>
      <c r="BV137" s="56"/>
      <c r="BW137" s="56"/>
      <c r="BX137" s="56"/>
      <c r="BY137" s="56"/>
      <c r="BZ137" s="56"/>
      <c r="CA137" s="56"/>
      <c r="CB137" s="56"/>
      <c r="CC137" s="56"/>
      <c r="CD137" s="56"/>
      <c r="CE137" s="56"/>
      <c r="CF137" s="56"/>
      <c r="CG137" s="56"/>
      <c r="CH137" s="56"/>
      <c r="CI137" s="56"/>
      <c r="CJ137" s="56"/>
      <c r="CK137" s="56"/>
      <c r="CL137" s="56"/>
      <c r="CM137" s="56"/>
      <c r="CN137" s="56"/>
      <c r="CO137" s="56"/>
      <c r="CP137" s="56"/>
      <c r="CQ137" s="56"/>
      <c r="CR137" s="56"/>
      <c r="CS137" s="56"/>
      <c r="CT137" s="56"/>
      <c r="CU137" s="56"/>
      <c r="CV137" s="56"/>
    </row>
    <row r="138" spans="1:100" x14ac:dyDescent="0.35">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6"/>
      <c r="BJ138" s="56"/>
      <c r="BK138" s="56"/>
      <c r="BL138" s="56"/>
      <c r="BM138" s="56"/>
      <c r="BN138" s="56"/>
      <c r="BO138" s="56"/>
      <c r="BP138" s="56"/>
      <c r="BQ138" s="56"/>
      <c r="BR138" s="56"/>
      <c r="BS138" s="56"/>
      <c r="BT138" s="56"/>
      <c r="BU138" s="56"/>
      <c r="BV138" s="56"/>
      <c r="BW138" s="56"/>
      <c r="BX138" s="56"/>
      <c r="BY138" s="56"/>
      <c r="BZ138" s="56"/>
      <c r="CA138" s="56"/>
      <c r="CB138" s="56"/>
      <c r="CC138" s="56"/>
      <c r="CD138" s="56"/>
      <c r="CE138" s="56"/>
      <c r="CF138" s="56"/>
      <c r="CG138" s="56"/>
      <c r="CH138" s="56"/>
      <c r="CI138" s="56"/>
      <c r="CJ138" s="56"/>
      <c r="CK138" s="56"/>
      <c r="CL138" s="56"/>
      <c r="CM138" s="56"/>
      <c r="CN138" s="56"/>
      <c r="CO138" s="56"/>
      <c r="CP138" s="56"/>
      <c r="CQ138" s="56"/>
      <c r="CR138" s="56"/>
      <c r="CS138" s="56"/>
      <c r="CT138" s="56"/>
      <c r="CU138" s="56"/>
      <c r="CV138" s="56"/>
    </row>
    <row r="139" spans="1:100" x14ac:dyDescent="0.35">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c r="BJ139" s="56"/>
      <c r="BK139" s="56"/>
      <c r="BL139" s="56"/>
      <c r="BM139" s="56"/>
      <c r="BN139" s="56"/>
      <c r="BO139" s="56"/>
      <c r="BP139" s="56"/>
      <c r="BQ139" s="56"/>
      <c r="BR139" s="56"/>
      <c r="BS139" s="56"/>
      <c r="BT139" s="56"/>
      <c r="BU139" s="56"/>
      <c r="BV139" s="56"/>
      <c r="BW139" s="56"/>
      <c r="BX139" s="56"/>
      <c r="BY139" s="56"/>
      <c r="BZ139" s="56"/>
      <c r="CA139" s="56"/>
      <c r="CB139" s="56"/>
      <c r="CC139" s="56"/>
      <c r="CD139" s="56"/>
      <c r="CE139" s="56"/>
    </row>
    <row r="140" spans="1:100" x14ac:dyDescent="0.35">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c r="BI140" s="56"/>
      <c r="BJ140" s="56"/>
      <c r="BK140" s="56"/>
      <c r="BL140" s="56"/>
      <c r="BM140" s="56"/>
      <c r="BN140" s="56"/>
      <c r="BO140" s="56"/>
      <c r="BP140" s="56"/>
      <c r="BQ140" s="56"/>
      <c r="BR140" s="56"/>
      <c r="BS140" s="56"/>
      <c r="BT140" s="56"/>
      <c r="BU140" s="56"/>
      <c r="BV140" s="56"/>
      <c r="BW140" s="56"/>
      <c r="BX140" s="56"/>
      <c r="BY140" s="56"/>
      <c r="BZ140" s="56"/>
      <c r="CA140" s="56"/>
      <c r="CB140" s="56"/>
      <c r="CC140" s="56"/>
      <c r="CD140" s="56"/>
      <c r="CE140" s="56"/>
    </row>
    <row r="141" spans="1:100" x14ac:dyDescent="0.35">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56"/>
      <c r="BJ141" s="56"/>
      <c r="BK141" s="56"/>
      <c r="BL141" s="56"/>
      <c r="BM141" s="56"/>
      <c r="BN141" s="56"/>
      <c r="BO141" s="56"/>
      <c r="BP141" s="56"/>
      <c r="BQ141" s="56"/>
      <c r="BR141" s="56"/>
      <c r="BS141" s="56"/>
      <c r="BT141" s="56"/>
      <c r="BU141" s="56"/>
      <c r="BV141" s="56"/>
      <c r="BW141" s="56"/>
      <c r="BX141" s="56"/>
      <c r="BY141" s="56"/>
      <c r="BZ141" s="56"/>
      <c r="CA141" s="56"/>
      <c r="CB141" s="56"/>
      <c r="CC141" s="56"/>
      <c r="CD141" s="56"/>
      <c r="CE141" s="56"/>
    </row>
    <row r="142" spans="1:100" x14ac:dyDescent="0.35">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56"/>
      <c r="BJ142" s="56"/>
      <c r="BK142" s="56"/>
      <c r="BL142" s="56"/>
      <c r="BM142" s="56"/>
      <c r="BN142" s="56"/>
      <c r="BO142" s="56"/>
      <c r="BP142" s="56"/>
      <c r="BQ142" s="56"/>
      <c r="BR142" s="56"/>
      <c r="BS142" s="56"/>
      <c r="BT142" s="56"/>
      <c r="BU142" s="56"/>
      <c r="BV142" s="56"/>
      <c r="BW142" s="56"/>
      <c r="BX142" s="56"/>
      <c r="BY142" s="56"/>
      <c r="BZ142" s="56"/>
      <c r="CA142" s="56"/>
      <c r="CB142" s="56"/>
      <c r="CC142" s="56"/>
      <c r="CD142" s="56"/>
      <c r="CE142" s="56"/>
    </row>
    <row r="143" spans="1:100" x14ac:dyDescent="0.35">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c r="BJ143" s="56"/>
      <c r="BK143" s="56"/>
      <c r="BL143" s="56"/>
      <c r="BM143" s="56"/>
      <c r="BN143" s="56"/>
      <c r="BO143" s="56"/>
      <c r="BP143" s="56"/>
      <c r="BQ143" s="56"/>
      <c r="BR143" s="56"/>
      <c r="BS143" s="56"/>
      <c r="BT143" s="56"/>
      <c r="BU143" s="56"/>
      <c r="BV143" s="56"/>
      <c r="BW143" s="56"/>
      <c r="BX143" s="56"/>
      <c r="BY143" s="56"/>
      <c r="BZ143" s="56"/>
      <c r="CA143" s="56"/>
      <c r="CB143" s="56"/>
      <c r="CC143" s="56"/>
      <c r="CD143" s="56"/>
      <c r="CE143" s="56"/>
    </row>
    <row r="144" spans="1:100" x14ac:dyDescent="0.35">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c r="BJ144" s="56"/>
      <c r="BK144" s="56"/>
      <c r="BL144" s="56"/>
      <c r="BM144" s="56"/>
      <c r="BN144" s="56"/>
      <c r="BO144" s="56"/>
      <c r="BP144" s="56"/>
      <c r="BQ144" s="56"/>
      <c r="BR144" s="56"/>
      <c r="BS144" s="56"/>
      <c r="BT144" s="56"/>
      <c r="BU144" s="56"/>
      <c r="BV144" s="56"/>
      <c r="BW144" s="56"/>
      <c r="BX144" s="56"/>
      <c r="BY144" s="56"/>
      <c r="BZ144" s="56"/>
      <c r="CA144" s="56"/>
      <c r="CB144" s="56"/>
      <c r="CC144" s="56"/>
      <c r="CD144" s="56"/>
      <c r="CE144" s="56"/>
    </row>
    <row r="145" spans="1:83" x14ac:dyDescent="0.35">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c r="BJ145" s="56"/>
      <c r="BK145" s="56"/>
      <c r="BL145" s="56"/>
      <c r="BM145" s="56"/>
      <c r="BN145" s="56"/>
      <c r="BO145" s="56"/>
      <c r="BP145" s="56"/>
      <c r="BQ145" s="56"/>
      <c r="BR145" s="56"/>
      <c r="BS145" s="56"/>
      <c r="BT145" s="56"/>
      <c r="BU145" s="56"/>
      <c r="BV145" s="56"/>
      <c r="BW145" s="56"/>
      <c r="BX145" s="56"/>
      <c r="BY145" s="56"/>
      <c r="BZ145" s="56"/>
      <c r="CA145" s="56"/>
      <c r="CB145" s="56"/>
      <c r="CC145" s="56"/>
      <c r="CD145" s="56"/>
      <c r="CE145" s="56"/>
    </row>
    <row r="146" spans="1:83" x14ac:dyDescent="0.35">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c r="BJ146" s="56"/>
      <c r="BK146" s="56"/>
      <c r="BL146" s="56"/>
      <c r="BM146" s="56"/>
      <c r="BN146" s="56"/>
      <c r="BO146" s="56"/>
      <c r="BP146" s="56"/>
      <c r="BQ146" s="56"/>
      <c r="BR146" s="56"/>
      <c r="BS146" s="56"/>
      <c r="BT146" s="56"/>
      <c r="BU146" s="56"/>
      <c r="BV146" s="56"/>
      <c r="BW146" s="56"/>
      <c r="BX146" s="56"/>
      <c r="BY146" s="56"/>
      <c r="BZ146" s="56"/>
      <c r="CA146" s="56"/>
      <c r="CB146" s="56"/>
      <c r="CC146" s="56"/>
      <c r="CD146" s="56"/>
      <c r="CE146" s="56"/>
    </row>
    <row r="147" spans="1:83" x14ac:dyDescent="0.35">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c r="BJ147" s="56"/>
      <c r="BK147" s="56"/>
      <c r="BL147" s="56"/>
      <c r="BM147" s="56"/>
      <c r="BN147" s="56"/>
      <c r="BO147" s="56"/>
      <c r="BP147" s="56"/>
      <c r="BQ147" s="56"/>
      <c r="BR147" s="56"/>
      <c r="BS147" s="56"/>
      <c r="BT147" s="56"/>
      <c r="BU147" s="56"/>
      <c r="BV147" s="56"/>
      <c r="BW147" s="56"/>
      <c r="BX147" s="56"/>
      <c r="BY147" s="56"/>
      <c r="BZ147" s="56"/>
      <c r="CA147" s="56"/>
      <c r="CB147" s="56"/>
      <c r="CC147" s="56"/>
      <c r="CD147" s="56"/>
      <c r="CE147" s="56"/>
    </row>
    <row r="148" spans="1:83" x14ac:dyDescent="0.35">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c r="BB148" s="56"/>
      <c r="BC148" s="56"/>
      <c r="BD148" s="56"/>
      <c r="BE148" s="56"/>
      <c r="BF148" s="56"/>
      <c r="BG148" s="56"/>
      <c r="BH148" s="56"/>
      <c r="BI148" s="56"/>
      <c r="BJ148" s="56"/>
      <c r="BK148" s="56"/>
      <c r="BL148" s="56"/>
      <c r="BM148" s="56"/>
      <c r="BN148" s="56"/>
      <c r="BO148" s="56"/>
      <c r="BP148" s="56"/>
      <c r="BQ148" s="56"/>
      <c r="BR148" s="56"/>
      <c r="BS148" s="56"/>
      <c r="BT148" s="56"/>
      <c r="BU148" s="56"/>
      <c r="BV148" s="56"/>
      <c r="BW148" s="56"/>
      <c r="BX148" s="56"/>
      <c r="BY148" s="56"/>
      <c r="BZ148" s="56"/>
      <c r="CA148" s="56"/>
      <c r="CB148" s="56"/>
      <c r="CC148" s="56"/>
      <c r="CD148" s="56"/>
      <c r="CE148" s="56"/>
    </row>
    <row r="149" spans="1:83" x14ac:dyDescent="0.35">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6"/>
      <c r="BE149" s="56"/>
      <c r="BF149" s="56"/>
      <c r="BG149" s="56"/>
      <c r="BH149" s="56"/>
      <c r="BI149" s="56"/>
      <c r="BJ149" s="56"/>
      <c r="BK149" s="56"/>
      <c r="BL149" s="56"/>
      <c r="BM149" s="56"/>
      <c r="BN149" s="56"/>
      <c r="BO149" s="56"/>
      <c r="BP149" s="56"/>
      <c r="BQ149" s="56"/>
      <c r="BR149" s="56"/>
      <c r="BS149" s="56"/>
      <c r="BT149" s="56"/>
      <c r="BU149" s="56"/>
      <c r="BV149" s="56"/>
      <c r="BW149" s="56"/>
      <c r="BX149" s="56"/>
      <c r="BY149" s="56"/>
      <c r="BZ149" s="56"/>
      <c r="CA149" s="56"/>
      <c r="CB149" s="56"/>
      <c r="CC149" s="56"/>
      <c r="CD149" s="56"/>
      <c r="CE149" s="56"/>
    </row>
    <row r="150" spans="1:83" x14ac:dyDescent="0.35">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c r="BJ150" s="56"/>
      <c r="BK150" s="56"/>
      <c r="BL150" s="56"/>
      <c r="BM150" s="56"/>
      <c r="BN150" s="56"/>
      <c r="BO150" s="56"/>
      <c r="BP150" s="56"/>
      <c r="BQ150" s="56"/>
      <c r="BR150" s="56"/>
      <c r="BS150" s="56"/>
      <c r="BT150" s="56"/>
      <c r="BU150" s="56"/>
      <c r="BV150" s="56"/>
      <c r="BW150" s="56"/>
      <c r="BX150" s="56"/>
      <c r="BY150" s="56"/>
      <c r="BZ150" s="56"/>
      <c r="CA150" s="56"/>
      <c r="CB150" s="56"/>
      <c r="CC150" s="56"/>
      <c r="CD150" s="56"/>
      <c r="CE150" s="56"/>
    </row>
    <row r="151" spans="1:83" x14ac:dyDescent="0.35">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c r="BG151" s="56"/>
      <c r="BH151" s="56"/>
      <c r="BI151" s="56"/>
      <c r="BJ151" s="56"/>
      <c r="BK151" s="56"/>
      <c r="BL151" s="56"/>
      <c r="BM151" s="56"/>
      <c r="BN151" s="56"/>
      <c r="BO151" s="56"/>
      <c r="BP151" s="56"/>
      <c r="BQ151" s="56"/>
      <c r="BR151" s="56"/>
      <c r="BS151" s="56"/>
      <c r="BT151" s="56"/>
      <c r="BU151" s="56"/>
      <c r="BV151" s="56"/>
      <c r="BW151" s="56"/>
      <c r="BX151" s="56"/>
      <c r="BY151" s="56"/>
      <c r="BZ151" s="56"/>
      <c r="CA151" s="56"/>
      <c r="CB151" s="56"/>
      <c r="CC151" s="56"/>
      <c r="CD151" s="56"/>
      <c r="CE151" s="56"/>
    </row>
    <row r="152" spans="1:83" x14ac:dyDescent="0.35">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c r="BI152" s="56"/>
      <c r="BJ152" s="56"/>
      <c r="BK152" s="56"/>
      <c r="BL152" s="56"/>
      <c r="BM152" s="56"/>
      <c r="BN152" s="56"/>
      <c r="BO152" s="56"/>
      <c r="BP152" s="56"/>
      <c r="BQ152" s="56"/>
      <c r="BR152" s="56"/>
      <c r="BS152" s="56"/>
      <c r="BT152" s="56"/>
      <c r="BU152" s="56"/>
      <c r="BV152" s="56"/>
      <c r="BW152" s="56"/>
      <c r="BX152" s="56"/>
      <c r="BY152" s="56"/>
      <c r="BZ152" s="56"/>
      <c r="CA152" s="56"/>
      <c r="CB152" s="56"/>
      <c r="CC152" s="56"/>
      <c r="CD152" s="56"/>
      <c r="CE152" s="56"/>
    </row>
    <row r="153" spans="1:83" x14ac:dyDescent="0.35">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6"/>
      <c r="BE153" s="56"/>
      <c r="BF153" s="56"/>
      <c r="BG153" s="56"/>
      <c r="BH153" s="56"/>
      <c r="BI153" s="56"/>
      <c r="BJ153" s="56"/>
      <c r="BK153" s="56"/>
      <c r="BL153" s="56"/>
      <c r="BM153" s="56"/>
      <c r="BN153" s="56"/>
      <c r="BO153" s="56"/>
      <c r="BP153" s="56"/>
      <c r="BQ153" s="56"/>
      <c r="BR153" s="56"/>
      <c r="BS153" s="56"/>
      <c r="BT153" s="56"/>
      <c r="BU153" s="56"/>
      <c r="BV153" s="56"/>
      <c r="BW153" s="56"/>
      <c r="BX153" s="56"/>
      <c r="BY153" s="56"/>
      <c r="BZ153" s="56"/>
      <c r="CA153" s="56"/>
      <c r="CB153" s="56"/>
      <c r="CC153" s="56"/>
      <c r="CD153" s="56"/>
      <c r="CE153" s="56"/>
    </row>
    <row r="154" spans="1:83" x14ac:dyDescent="0.35">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c r="BB154" s="56"/>
      <c r="BC154" s="56"/>
      <c r="BD154" s="56"/>
      <c r="BE154" s="56"/>
      <c r="BF154" s="56"/>
      <c r="BG154" s="56"/>
      <c r="BH154" s="56"/>
      <c r="BI154" s="56"/>
      <c r="BJ154" s="56"/>
      <c r="BK154" s="56"/>
      <c r="BL154" s="56"/>
      <c r="BM154" s="56"/>
      <c r="BN154" s="56"/>
      <c r="BO154" s="56"/>
      <c r="BP154" s="56"/>
      <c r="BQ154" s="56"/>
      <c r="BR154" s="56"/>
      <c r="BS154" s="56"/>
      <c r="BT154" s="56"/>
      <c r="BU154" s="56"/>
      <c r="BV154" s="56"/>
      <c r="BW154" s="56"/>
      <c r="BX154" s="56"/>
      <c r="BY154" s="56"/>
      <c r="BZ154" s="56"/>
      <c r="CA154" s="56"/>
      <c r="CB154" s="56"/>
      <c r="CC154" s="56"/>
      <c r="CD154" s="56"/>
      <c r="CE154" s="56"/>
    </row>
    <row r="155" spans="1:83" x14ac:dyDescent="0.35">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c r="BB155" s="56"/>
      <c r="BC155" s="56"/>
      <c r="BD155" s="56"/>
      <c r="BE155" s="56"/>
      <c r="BF155" s="56"/>
      <c r="BG155" s="56"/>
      <c r="BH155" s="56"/>
      <c r="BI155" s="56"/>
      <c r="BJ155" s="56"/>
      <c r="BK155" s="56"/>
      <c r="BL155" s="56"/>
      <c r="BM155" s="56"/>
      <c r="BN155" s="56"/>
      <c r="BO155" s="56"/>
      <c r="BP155" s="56"/>
      <c r="BQ155" s="56"/>
      <c r="BR155" s="56"/>
      <c r="BS155" s="56"/>
      <c r="BT155" s="56"/>
      <c r="BU155" s="56"/>
      <c r="BV155" s="56"/>
      <c r="BW155" s="56"/>
      <c r="BX155" s="56"/>
      <c r="BY155" s="56"/>
      <c r="BZ155" s="56"/>
      <c r="CA155" s="56"/>
      <c r="CB155" s="56"/>
      <c r="CC155" s="56"/>
      <c r="CD155" s="56"/>
      <c r="CE155" s="56"/>
    </row>
    <row r="156" spans="1:83" x14ac:dyDescent="0.35">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c r="BI156" s="56"/>
      <c r="BJ156" s="56"/>
      <c r="BK156" s="56"/>
      <c r="BL156" s="56"/>
      <c r="BM156" s="56"/>
      <c r="BN156" s="56"/>
      <c r="BO156" s="56"/>
      <c r="BP156" s="56"/>
      <c r="BQ156" s="56"/>
      <c r="BR156" s="56"/>
      <c r="BS156" s="56"/>
      <c r="BT156" s="56"/>
      <c r="BU156" s="56"/>
      <c r="BV156" s="56"/>
      <c r="BW156" s="56"/>
      <c r="BX156" s="56"/>
      <c r="BY156" s="56"/>
      <c r="BZ156" s="56"/>
      <c r="CA156" s="56"/>
      <c r="CB156" s="56"/>
      <c r="CC156" s="56"/>
      <c r="CD156" s="56"/>
      <c r="CE156" s="56"/>
    </row>
    <row r="157" spans="1:83" x14ac:dyDescent="0.35">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6"/>
      <c r="BJ157" s="56"/>
      <c r="BK157" s="56"/>
      <c r="BL157" s="56"/>
      <c r="BM157" s="56"/>
      <c r="BN157" s="56"/>
      <c r="BO157" s="56"/>
      <c r="BP157" s="56"/>
      <c r="BQ157" s="56"/>
      <c r="BR157" s="56"/>
      <c r="BS157" s="56"/>
      <c r="BT157" s="56"/>
      <c r="BU157" s="56"/>
      <c r="BV157" s="56"/>
      <c r="BW157" s="56"/>
      <c r="BX157" s="56"/>
      <c r="BY157" s="56"/>
      <c r="BZ157" s="56"/>
      <c r="CA157" s="56"/>
      <c r="CB157" s="56"/>
      <c r="CC157" s="56"/>
      <c r="CD157" s="56"/>
      <c r="CE157" s="56"/>
    </row>
    <row r="158" spans="1:83" x14ac:dyDescent="0.35">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c r="BB158" s="56"/>
      <c r="BC158" s="56"/>
      <c r="BD158" s="56"/>
      <c r="BE158" s="56"/>
      <c r="BF158" s="56"/>
      <c r="BG158" s="56"/>
      <c r="BH158" s="56"/>
      <c r="BI158" s="56"/>
      <c r="BJ158" s="56"/>
      <c r="BK158" s="56"/>
      <c r="BL158" s="56"/>
      <c r="BM158" s="56"/>
      <c r="BN158" s="56"/>
      <c r="BO158" s="56"/>
      <c r="BP158" s="56"/>
      <c r="BQ158" s="56"/>
      <c r="BR158" s="56"/>
      <c r="BS158" s="56"/>
      <c r="BT158" s="56"/>
      <c r="BU158" s="56"/>
      <c r="BV158" s="56"/>
      <c r="BW158" s="56"/>
      <c r="BX158" s="56"/>
      <c r="BY158" s="56"/>
      <c r="BZ158" s="56"/>
      <c r="CA158" s="56"/>
      <c r="CB158" s="56"/>
      <c r="CC158" s="56"/>
      <c r="CD158" s="56"/>
      <c r="CE158" s="56"/>
    </row>
    <row r="159" spans="1:83" x14ac:dyDescent="0.35">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6"/>
      <c r="BJ159" s="56"/>
      <c r="BK159" s="56"/>
      <c r="BL159" s="56"/>
      <c r="BM159" s="56"/>
      <c r="BN159" s="56"/>
      <c r="BO159" s="56"/>
      <c r="BP159" s="56"/>
      <c r="BQ159" s="56"/>
      <c r="BR159" s="56"/>
      <c r="BS159" s="56"/>
      <c r="BT159" s="56"/>
      <c r="BU159" s="56"/>
      <c r="BV159" s="56"/>
      <c r="BW159" s="56"/>
      <c r="BX159" s="56"/>
      <c r="BY159" s="56"/>
      <c r="BZ159" s="56"/>
      <c r="CA159" s="56"/>
      <c r="CB159" s="56"/>
      <c r="CC159" s="56"/>
      <c r="CD159" s="56"/>
      <c r="CE159" s="56"/>
    </row>
    <row r="160" spans="1:83" x14ac:dyDescent="0.35">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c r="BI160" s="56"/>
      <c r="BJ160" s="56"/>
      <c r="BK160" s="56"/>
      <c r="BL160" s="56"/>
      <c r="BM160" s="56"/>
      <c r="BN160" s="56"/>
      <c r="BO160" s="56"/>
      <c r="BP160" s="56"/>
      <c r="BQ160" s="56"/>
      <c r="BR160" s="56"/>
      <c r="BS160" s="56"/>
      <c r="BT160" s="56"/>
      <c r="BU160" s="56"/>
      <c r="BV160" s="56"/>
      <c r="BW160" s="56"/>
      <c r="BX160" s="56"/>
      <c r="BY160" s="56"/>
      <c r="BZ160" s="56"/>
      <c r="CA160" s="56"/>
      <c r="CB160" s="56"/>
      <c r="CC160" s="56"/>
      <c r="CD160" s="56"/>
      <c r="CE160" s="56"/>
    </row>
    <row r="161" spans="1:83" x14ac:dyDescent="0.35">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c r="BB161" s="56"/>
      <c r="BC161" s="56"/>
      <c r="BD161" s="56"/>
      <c r="BE161" s="56"/>
      <c r="BF161" s="56"/>
      <c r="BG161" s="56"/>
      <c r="BH161" s="56"/>
      <c r="BI161" s="56"/>
      <c r="BJ161" s="56"/>
      <c r="BK161" s="56"/>
      <c r="BL161" s="56"/>
      <c r="BM161" s="56"/>
      <c r="BN161" s="56"/>
      <c r="BO161" s="56"/>
      <c r="BP161" s="56"/>
      <c r="BQ161" s="56"/>
      <c r="BR161" s="56"/>
      <c r="BS161" s="56"/>
      <c r="BT161" s="56"/>
      <c r="BU161" s="56"/>
      <c r="BV161" s="56"/>
      <c r="BW161" s="56"/>
      <c r="BX161" s="56"/>
      <c r="BY161" s="56"/>
      <c r="BZ161" s="56"/>
      <c r="CA161" s="56"/>
      <c r="CB161" s="56"/>
      <c r="CC161" s="56"/>
      <c r="CD161" s="56"/>
      <c r="CE161" s="56"/>
    </row>
    <row r="162" spans="1:83" x14ac:dyDescent="0.35">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c r="BI162" s="56"/>
      <c r="BJ162" s="56"/>
      <c r="BK162" s="56"/>
      <c r="BL162" s="56"/>
      <c r="BM162" s="56"/>
      <c r="BN162" s="56"/>
      <c r="BO162" s="56"/>
      <c r="BP162" s="56"/>
      <c r="BQ162" s="56"/>
      <c r="BR162" s="56"/>
      <c r="BS162" s="56"/>
      <c r="BT162" s="56"/>
      <c r="BU162" s="56"/>
      <c r="BV162" s="56"/>
      <c r="BW162" s="56"/>
      <c r="BX162" s="56"/>
      <c r="BY162" s="56"/>
      <c r="BZ162" s="56"/>
      <c r="CA162" s="56"/>
      <c r="CB162" s="56"/>
      <c r="CC162" s="56"/>
      <c r="CD162" s="56"/>
      <c r="CE162" s="56"/>
    </row>
    <row r="163" spans="1:83" x14ac:dyDescent="0.35">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6"/>
      <c r="BE163" s="56"/>
      <c r="BF163" s="56"/>
      <c r="BG163" s="56"/>
      <c r="BH163" s="56"/>
      <c r="BI163" s="56"/>
      <c r="BJ163" s="56"/>
      <c r="BK163" s="56"/>
      <c r="BL163" s="56"/>
      <c r="BM163" s="56"/>
      <c r="BN163" s="56"/>
      <c r="BO163" s="56"/>
      <c r="BP163" s="56"/>
      <c r="BQ163" s="56"/>
      <c r="BR163" s="56"/>
      <c r="BS163" s="56"/>
      <c r="BT163" s="56"/>
      <c r="BU163" s="56"/>
      <c r="BV163" s="56"/>
      <c r="BW163" s="56"/>
      <c r="BX163" s="56"/>
      <c r="BY163" s="56"/>
      <c r="BZ163" s="56"/>
      <c r="CA163" s="56"/>
      <c r="CB163" s="56"/>
      <c r="CC163" s="56"/>
      <c r="CD163" s="56"/>
      <c r="CE163" s="56"/>
    </row>
    <row r="164" spans="1:83" x14ac:dyDescent="0.35">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c r="BF164" s="56"/>
      <c r="BG164" s="56"/>
      <c r="BH164" s="56"/>
      <c r="BI164" s="56"/>
      <c r="BJ164" s="56"/>
      <c r="BK164" s="56"/>
      <c r="BL164" s="56"/>
      <c r="BM164" s="56"/>
      <c r="BN164" s="56"/>
      <c r="BO164" s="56"/>
      <c r="BP164" s="56"/>
      <c r="BQ164" s="56"/>
      <c r="BR164" s="56"/>
      <c r="BS164" s="56"/>
      <c r="BT164" s="56"/>
      <c r="BU164" s="56"/>
      <c r="BV164" s="56"/>
      <c r="BW164" s="56"/>
      <c r="BX164" s="56"/>
      <c r="BY164" s="56"/>
      <c r="BZ164" s="56"/>
      <c r="CA164" s="56"/>
      <c r="CB164" s="56"/>
      <c r="CC164" s="56"/>
      <c r="CD164" s="56"/>
      <c r="CE164" s="56"/>
    </row>
    <row r="165" spans="1:83" x14ac:dyDescent="0.35">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6"/>
      <c r="BE165" s="56"/>
      <c r="BF165" s="56"/>
      <c r="BG165" s="56"/>
      <c r="BH165" s="56"/>
      <c r="BI165" s="56"/>
      <c r="BJ165" s="56"/>
      <c r="BK165" s="56"/>
      <c r="BL165" s="56"/>
      <c r="BM165" s="56"/>
      <c r="BN165" s="56"/>
      <c r="BO165" s="56"/>
      <c r="BP165" s="56"/>
      <c r="BQ165" s="56"/>
      <c r="BR165" s="56"/>
      <c r="BS165" s="56"/>
      <c r="BT165" s="56"/>
      <c r="BU165" s="56"/>
      <c r="BV165" s="56"/>
      <c r="BW165" s="56"/>
      <c r="BX165" s="56"/>
      <c r="BY165" s="56"/>
      <c r="BZ165" s="56"/>
      <c r="CA165" s="56"/>
      <c r="CB165" s="56"/>
      <c r="CC165" s="56"/>
      <c r="CD165" s="56"/>
      <c r="CE165" s="56"/>
    </row>
    <row r="166" spans="1:83" x14ac:dyDescent="0.35">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c r="BF166" s="56"/>
      <c r="BG166" s="56"/>
      <c r="BH166" s="56"/>
      <c r="BI166" s="56"/>
      <c r="BJ166" s="56"/>
      <c r="BK166" s="56"/>
      <c r="BL166" s="56"/>
      <c r="BM166" s="56"/>
      <c r="BN166" s="56"/>
      <c r="BO166" s="56"/>
      <c r="BP166" s="56"/>
      <c r="BQ166" s="56"/>
      <c r="BR166" s="56"/>
      <c r="BS166" s="56"/>
      <c r="BT166" s="56"/>
      <c r="BU166" s="56"/>
      <c r="BV166" s="56"/>
      <c r="BW166" s="56"/>
      <c r="BX166" s="56"/>
      <c r="BY166" s="56"/>
      <c r="BZ166" s="56"/>
      <c r="CA166" s="56"/>
      <c r="CB166" s="56"/>
      <c r="CC166" s="56"/>
      <c r="CD166" s="56"/>
      <c r="CE166" s="56"/>
    </row>
    <row r="167" spans="1:83" x14ac:dyDescent="0.35">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c r="BF167" s="56"/>
      <c r="BG167" s="56"/>
      <c r="BH167" s="56"/>
      <c r="BI167" s="56"/>
      <c r="BJ167" s="56"/>
      <c r="BK167" s="56"/>
      <c r="BL167" s="56"/>
      <c r="BM167" s="56"/>
      <c r="BN167" s="56"/>
      <c r="BO167" s="56"/>
      <c r="BP167" s="56"/>
      <c r="BQ167" s="56"/>
      <c r="BR167" s="56"/>
      <c r="BS167" s="56"/>
      <c r="BT167" s="56"/>
      <c r="BU167" s="56"/>
      <c r="BV167" s="56"/>
      <c r="BW167" s="56"/>
      <c r="BX167" s="56"/>
      <c r="BY167" s="56"/>
      <c r="BZ167" s="56"/>
      <c r="CA167" s="56"/>
      <c r="CB167" s="56"/>
      <c r="CC167" s="56"/>
      <c r="CD167" s="56"/>
      <c r="CE167" s="56"/>
    </row>
    <row r="168" spans="1:83" x14ac:dyDescent="0.35">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6"/>
      <c r="AY168" s="56"/>
      <c r="AZ168" s="56"/>
      <c r="BA168" s="56"/>
      <c r="BB168" s="56"/>
      <c r="BC168" s="56"/>
      <c r="BD168" s="56"/>
      <c r="BE168" s="56"/>
      <c r="BF168" s="56"/>
      <c r="BG168" s="56"/>
      <c r="BH168" s="56"/>
      <c r="BI168" s="56"/>
      <c r="BJ168" s="56"/>
      <c r="BK168" s="56"/>
      <c r="BL168" s="56"/>
      <c r="BM168" s="56"/>
      <c r="BN168" s="56"/>
      <c r="BO168" s="56"/>
      <c r="BP168" s="56"/>
      <c r="BQ168" s="56"/>
      <c r="BR168" s="56"/>
      <c r="BS168" s="56"/>
      <c r="BT168" s="56"/>
      <c r="BU168" s="56"/>
      <c r="BV168" s="56"/>
      <c r="BW168" s="56"/>
      <c r="BX168" s="56"/>
      <c r="BY168" s="56"/>
      <c r="BZ168" s="56"/>
      <c r="CA168" s="56"/>
      <c r="CB168" s="56"/>
      <c r="CC168" s="56"/>
      <c r="CD168" s="56"/>
      <c r="CE168" s="56"/>
    </row>
    <row r="169" spans="1:83" x14ac:dyDescent="0.35">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c r="BB169" s="56"/>
      <c r="BC169" s="56"/>
      <c r="BD169" s="56"/>
      <c r="BE169" s="56"/>
      <c r="BF169" s="56"/>
      <c r="BG169" s="56"/>
      <c r="BH169" s="56"/>
      <c r="BI169" s="56"/>
      <c r="BJ169" s="56"/>
      <c r="BK169" s="56"/>
      <c r="BL169" s="56"/>
      <c r="BM169" s="56"/>
      <c r="BN169" s="56"/>
      <c r="BO169" s="56"/>
      <c r="BP169" s="56"/>
      <c r="BQ169" s="56"/>
      <c r="BR169" s="56"/>
      <c r="BS169" s="56"/>
      <c r="BT169" s="56"/>
      <c r="BU169" s="56"/>
      <c r="BV169" s="56"/>
      <c r="BW169" s="56"/>
      <c r="BX169" s="56"/>
      <c r="BY169" s="56"/>
      <c r="BZ169" s="56"/>
      <c r="CA169" s="56"/>
      <c r="CB169" s="56"/>
      <c r="CC169" s="56"/>
      <c r="CD169" s="56"/>
      <c r="CE169" s="56"/>
    </row>
    <row r="170" spans="1:83" x14ac:dyDescent="0.35">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c r="BI170" s="56"/>
      <c r="BJ170" s="56"/>
      <c r="BK170" s="56"/>
      <c r="BL170" s="56"/>
      <c r="BM170" s="56"/>
      <c r="BN170" s="56"/>
      <c r="BO170" s="56"/>
      <c r="BP170" s="56"/>
      <c r="BQ170" s="56"/>
      <c r="BR170" s="56"/>
      <c r="BS170" s="56"/>
      <c r="BT170" s="56"/>
      <c r="BU170" s="56"/>
      <c r="BV170" s="56"/>
      <c r="BW170" s="56"/>
      <c r="BX170" s="56"/>
      <c r="BY170" s="56"/>
      <c r="BZ170" s="56"/>
      <c r="CA170" s="56"/>
      <c r="CB170" s="56"/>
      <c r="CC170" s="56"/>
      <c r="CD170" s="56"/>
      <c r="CE170" s="56"/>
    </row>
    <row r="171" spans="1:83" x14ac:dyDescent="0.35">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c r="BB171" s="56"/>
      <c r="BC171" s="56"/>
      <c r="BD171" s="56"/>
      <c r="BE171" s="56"/>
      <c r="BF171" s="56"/>
      <c r="BG171" s="56"/>
      <c r="BH171" s="56"/>
      <c r="BI171" s="56"/>
      <c r="BJ171" s="56"/>
      <c r="BK171" s="56"/>
      <c r="BL171" s="56"/>
      <c r="BM171" s="56"/>
      <c r="BN171" s="56"/>
      <c r="BO171" s="56"/>
      <c r="BP171" s="56"/>
      <c r="BQ171" s="56"/>
      <c r="BR171" s="56"/>
      <c r="BS171" s="56"/>
      <c r="BT171" s="56"/>
      <c r="BU171" s="56"/>
      <c r="BV171" s="56"/>
      <c r="BW171" s="56"/>
      <c r="BX171" s="56"/>
      <c r="BY171" s="56"/>
      <c r="BZ171" s="56"/>
      <c r="CA171" s="56"/>
      <c r="CB171" s="56"/>
      <c r="CC171" s="56"/>
      <c r="CD171" s="56"/>
      <c r="CE171" s="56"/>
    </row>
    <row r="172" spans="1:83" x14ac:dyDescent="0.35">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c r="BB172" s="56"/>
      <c r="BC172" s="56"/>
      <c r="BD172" s="56"/>
      <c r="BE172" s="56"/>
      <c r="BF172" s="56"/>
      <c r="BG172" s="56"/>
      <c r="BH172" s="56"/>
      <c r="BI172" s="56"/>
      <c r="BJ172" s="56"/>
      <c r="BK172" s="56"/>
      <c r="BL172" s="56"/>
      <c r="BM172" s="56"/>
      <c r="BN172" s="56"/>
      <c r="BO172" s="56"/>
      <c r="BP172" s="56"/>
      <c r="BQ172" s="56"/>
      <c r="BR172" s="56"/>
      <c r="BS172" s="56"/>
      <c r="BT172" s="56"/>
      <c r="BU172" s="56"/>
      <c r="BV172" s="56"/>
      <c r="BW172" s="56"/>
      <c r="BX172" s="56"/>
      <c r="BY172" s="56"/>
      <c r="BZ172" s="56"/>
      <c r="CA172" s="56"/>
      <c r="CB172" s="56"/>
      <c r="CC172" s="56"/>
      <c r="CD172" s="56"/>
      <c r="CE172" s="56"/>
    </row>
    <row r="173" spans="1:83" x14ac:dyDescent="0.35">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c r="BF173" s="56"/>
      <c r="BG173" s="56"/>
      <c r="BH173" s="56"/>
      <c r="BI173" s="56"/>
      <c r="BJ173" s="56"/>
      <c r="BK173" s="56"/>
      <c r="BL173" s="56"/>
      <c r="BM173" s="56"/>
      <c r="BN173" s="56"/>
      <c r="BO173" s="56"/>
      <c r="BP173" s="56"/>
      <c r="BQ173" s="56"/>
      <c r="BR173" s="56"/>
      <c r="BS173" s="56"/>
      <c r="BT173" s="56"/>
      <c r="BU173" s="56"/>
      <c r="BV173" s="56"/>
      <c r="BW173" s="56"/>
      <c r="BX173" s="56"/>
      <c r="BY173" s="56"/>
      <c r="BZ173" s="56"/>
      <c r="CA173" s="56"/>
      <c r="CB173" s="56"/>
      <c r="CC173" s="56"/>
      <c r="CD173" s="56"/>
      <c r="CE173" s="56"/>
    </row>
    <row r="174" spans="1:83" x14ac:dyDescent="0.35">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c r="BB174" s="56"/>
      <c r="BC174" s="56"/>
      <c r="BD174" s="56"/>
      <c r="BE174" s="56"/>
      <c r="BF174" s="56"/>
      <c r="BG174" s="56"/>
      <c r="BH174" s="56"/>
      <c r="BI174" s="56"/>
      <c r="BJ174" s="56"/>
      <c r="BK174" s="56"/>
      <c r="BL174" s="56"/>
      <c r="BM174" s="56"/>
      <c r="BN174" s="56"/>
      <c r="BO174" s="56"/>
      <c r="BP174" s="56"/>
      <c r="BQ174" s="56"/>
      <c r="BR174" s="56"/>
      <c r="BS174" s="56"/>
      <c r="BT174" s="56"/>
      <c r="BU174" s="56"/>
      <c r="BV174" s="56"/>
      <c r="BW174" s="56"/>
      <c r="BX174" s="56"/>
      <c r="BY174" s="56"/>
      <c r="BZ174" s="56"/>
      <c r="CA174" s="56"/>
      <c r="CB174" s="56"/>
      <c r="CC174" s="56"/>
      <c r="CD174" s="56"/>
      <c r="CE174" s="56"/>
    </row>
    <row r="175" spans="1:83" x14ac:dyDescent="0.35">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c r="BB175" s="56"/>
      <c r="BC175" s="56"/>
      <c r="BD175" s="56"/>
      <c r="BE175" s="56"/>
      <c r="BF175" s="56"/>
      <c r="BG175" s="56"/>
      <c r="BH175" s="56"/>
      <c r="BI175" s="56"/>
      <c r="BJ175" s="56"/>
      <c r="BK175" s="56"/>
      <c r="BL175" s="56"/>
      <c r="BM175" s="56"/>
      <c r="BN175" s="56"/>
      <c r="BO175" s="56"/>
      <c r="BP175" s="56"/>
      <c r="BQ175" s="56"/>
      <c r="BR175" s="56"/>
      <c r="BS175" s="56"/>
      <c r="BT175" s="56"/>
      <c r="BU175" s="56"/>
      <c r="BV175" s="56"/>
      <c r="BW175" s="56"/>
      <c r="BX175" s="56"/>
      <c r="BY175" s="56"/>
      <c r="BZ175" s="56"/>
      <c r="CA175" s="56"/>
      <c r="CB175" s="56"/>
      <c r="CC175" s="56"/>
      <c r="CD175" s="56"/>
      <c r="CE175" s="56"/>
    </row>
    <row r="176" spans="1:83" x14ac:dyDescent="0.35">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c r="BB176" s="56"/>
      <c r="BC176" s="56"/>
      <c r="BD176" s="56"/>
      <c r="BE176" s="56"/>
      <c r="BF176" s="56"/>
      <c r="BG176" s="56"/>
      <c r="BH176" s="56"/>
      <c r="BI176" s="56"/>
      <c r="BJ176" s="56"/>
      <c r="BK176" s="56"/>
      <c r="BL176" s="56"/>
      <c r="BM176" s="56"/>
      <c r="BN176" s="56"/>
      <c r="BO176" s="56"/>
      <c r="BP176" s="56"/>
      <c r="BQ176" s="56"/>
      <c r="BR176" s="56"/>
      <c r="BS176" s="56"/>
      <c r="BT176" s="56"/>
      <c r="BU176" s="56"/>
      <c r="BV176" s="56"/>
      <c r="BW176" s="56"/>
      <c r="BX176" s="56"/>
      <c r="BY176" s="56"/>
      <c r="BZ176" s="56"/>
      <c r="CA176" s="56"/>
      <c r="CB176" s="56"/>
      <c r="CC176" s="56"/>
      <c r="CD176" s="56"/>
      <c r="CE176" s="56"/>
    </row>
    <row r="177" spans="1:83" x14ac:dyDescent="0.35">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c r="BB177" s="56"/>
      <c r="BC177" s="56"/>
      <c r="BD177" s="56"/>
      <c r="BE177" s="56"/>
      <c r="BF177" s="56"/>
      <c r="BG177" s="56"/>
      <c r="BH177" s="56"/>
      <c r="BI177" s="56"/>
      <c r="BJ177" s="56"/>
      <c r="BK177" s="56"/>
      <c r="BL177" s="56"/>
      <c r="BM177" s="56"/>
      <c r="BN177" s="56"/>
      <c r="BO177" s="56"/>
      <c r="BP177" s="56"/>
      <c r="BQ177" s="56"/>
      <c r="BR177" s="56"/>
      <c r="BS177" s="56"/>
      <c r="BT177" s="56"/>
      <c r="BU177" s="56"/>
      <c r="BV177" s="56"/>
      <c r="BW177" s="56"/>
      <c r="BX177" s="56"/>
      <c r="BY177" s="56"/>
      <c r="BZ177" s="56"/>
      <c r="CA177" s="56"/>
      <c r="CB177" s="56"/>
      <c r="CC177" s="56"/>
      <c r="CD177" s="56"/>
      <c r="CE177" s="56"/>
    </row>
    <row r="178" spans="1:83" x14ac:dyDescent="0.35">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c r="BB178" s="56"/>
      <c r="BC178" s="56"/>
      <c r="BD178" s="56"/>
      <c r="BE178" s="56"/>
      <c r="BF178" s="56"/>
      <c r="BG178" s="56"/>
      <c r="BH178" s="56"/>
      <c r="BI178" s="56"/>
      <c r="BJ178" s="56"/>
      <c r="BK178" s="56"/>
      <c r="BL178" s="56"/>
      <c r="BM178" s="56"/>
      <c r="BN178" s="56"/>
      <c r="BO178" s="56"/>
      <c r="BP178" s="56"/>
      <c r="BQ178" s="56"/>
      <c r="BR178" s="56"/>
      <c r="BS178" s="56"/>
      <c r="BT178" s="56"/>
      <c r="BU178" s="56"/>
      <c r="BV178" s="56"/>
      <c r="BW178" s="56"/>
      <c r="BX178" s="56"/>
      <c r="BY178" s="56"/>
      <c r="BZ178" s="56"/>
      <c r="CA178" s="56"/>
      <c r="CB178" s="56"/>
      <c r="CC178" s="56"/>
      <c r="CD178" s="56"/>
      <c r="CE178" s="56"/>
    </row>
    <row r="179" spans="1:83" x14ac:dyDescent="0.35">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c r="BB179" s="56"/>
      <c r="BC179" s="56"/>
      <c r="BD179" s="56"/>
      <c r="BE179" s="56"/>
      <c r="BF179" s="56"/>
      <c r="BG179" s="56"/>
      <c r="BH179" s="56"/>
      <c r="BI179" s="56"/>
      <c r="BJ179" s="56"/>
      <c r="BK179" s="56"/>
      <c r="BL179" s="56"/>
      <c r="BM179" s="56"/>
      <c r="BN179" s="56"/>
      <c r="BO179" s="56"/>
      <c r="BP179" s="56"/>
      <c r="BQ179" s="56"/>
      <c r="BR179" s="56"/>
      <c r="BS179" s="56"/>
      <c r="BT179" s="56"/>
      <c r="BU179" s="56"/>
      <c r="BV179" s="56"/>
      <c r="BW179" s="56"/>
      <c r="BX179" s="56"/>
      <c r="BY179" s="56"/>
      <c r="BZ179" s="56"/>
      <c r="CA179" s="56"/>
      <c r="CB179" s="56"/>
      <c r="CC179" s="56"/>
      <c r="CD179" s="56"/>
      <c r="CE179" s="56"/>
    </row>
    <row r="180" spans="1:83" x14ac:dyDescent="0.35">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c r="BB180" s="56"/>
      <c r="BC180" s="56"/>
      <c r="BD180" s="56"/>
      <c r="BE180" s="56"/>
      <c r="BF180" s="56"/>
      <c r="BG180" s="56"/>
      <c r="BH180" s="56"/>
      <c r="BI180" s="56"/>
      <c r="BJ180" s="56"/>
      <c r="BK180" s="56"/>
      <c r="BL180" s="56"/>
      <c r="BM180" s="56"/>
      <c r="BN180" s="56"/>
      <c r="BO180" s="56"/>
      <c r="BP180" s="56"/>
      <c r="BQ180" s="56"/>
      <c r="BR180" s="56"/>
      <c r="BS180" s="56"/>
      <c r="BT180" s="56"/>
      <c r="BU180" s="56"/>
      <c r="BV180" s="56"/>
      <c r="BW180" s="56"/>
      <c r="BX180" s="56"/>
      <c r="BY180" s="56"/>
      <c r="BZ180" s="56"/>
      <c r="CA180" s="56"/>
      <c r="CB180" s="56"/>
      <c r="CC180" s="56"/>
      <c r="CD180" s="56"/>
      <c r="CE180" s="56"/>
    </row>
    <row r="181" spans="1:83" x14ac:dyDescent="0.35">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c r="BB181" s="56"/>
      <c r="BC181" s="56"/>
      <c r="BD181" s="56"/>
      <c r="BE181" s="56"/>
      <c r="BF181" s="56"/>
      <c r="BG181" s="56"/>
      <c r="BH181" s="56"/>
      <c r="BI181" s="56"/>
      <c r="BJ181" s="56"/>
      <c r="BK181" s="56"/>
      <c r="BL181" s="56"/>
      <c r="BM181" s="56"/>
      <c r="BN181" s="56"/>
      <c r="BO181" s="56"/>
      <c r="BP181" s="56"/>
      <c r="BQ181" s="56"/>
      <c r="BR181" s="56"/>
      <c r="BS181" s="56"/>
      <c r="BT181" s="56"/>
      <c r="BU181" s="56"/>
      <c r="BV181" s="56"/>
      <c r="BW181" s="56"/>
      <c r="BX181" s="56"/>
      <c r="BY181" s="56"/>
      <c r="BZ181" s="56"/>
      <c r="CA181" s="56"/>
      <c r="CB181" s="56"/>
      <c r="CC181" s="56"/>
      <c r="CD181" s="56"/>
      <c r="CE181" s="56"/>
    </row>
    <row r="182" spans="1:83" x14ac:dyDescent="0.35">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c r="BB182" s="56"/>
      <c r="BC182" s="56"/>
      <c r="BD182" s="56"/>
      <c r="BE182" s="56"/>
      <c r="BF182" s="56"/>
      <c r="BG182" s="56"/>
      <c r="BH182" s="56"/>
      <c r="BI182" s="56"/>
      <c r="BJ182" s="56"/>
      <c r="BK182" s="56"/>
      <c r="BL182" s="56"/>
      <c r="BM182" s="56"/>
      <c r="BN182" s="56"/>
      <c r="BO182" s="56"/>
      <c r="BP182" s="56"/>
      <c r="BQ182" s="56"/>
      <c r="BR182" s="56"/>
      <c r="BS182" s="56"/>
      <c r="BT182" s="56"/>
      <c r="BU182" s="56"/>
      <c r="BV182" s="56"/>
      <c r="BW182" s="56"/>
      <c r="BX182" s="56"/>
      <c r="BY182" s="56"/>
      <c r="BZ182" s="56"/>
      <c r="CA182" s="56"/>
      <c r="CB182" s="56"/>
      <c r="CC182" s="56"/>
      <c r="CD182" s="56"/>
      <c r="CE182" s="56"/>
    </row>
    <row r="183" spans="1:83" x14ac:dyDescent="0.35">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c r="BB183" s="56"/>
      <c r="BC183" s="56"/>
      <c r="BD183" s="56"/>
      <c r="BE183" s="56"/>
      <c r="BF183" s="56"/>
      <c r="BG183" s="56"/>
      <c r="BH183" s="56"/>
      <c r="BI183" s="56"/>
      <c r="BJ183" s="56"/>
      <c r="BK183" s="56"/>
      <c r="BL183" s="56"/>
      <c r="BM183" s="56"/>
      <c r="BN183" s="56"/>
      <c r="BO183" s="56"/>
      <c r="BP183" s="56"/>
      <c r="BQ183" s="56"/>
      <c r="BR183" s="56"/>
      <c r="BS183" s="56"/>
      <c r="BT183" s="56"/>
      <c r="BU183" s="56"/>
      <c r="BV183" s="56"/>
      <c r="BW183" s="56"/>
      <c r="BX183" s="56"/>
      <c r="BY183" s="56"/>
      <c r="BZ183" s="56"/>
      <c r="CA183" s="56"/>
      <c r="CB183" s="56"/>
      <c r="CC183" s="56"/>
      <c r="CD183" s="56"/>
      <c r="CE183" s="56"/>
    </row>
    <row r="184" spans="1:83" x14ac:dyDescent="0.35">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c r="BC184" s="56"/>
      <c r="BD184" s="56"/>
      <c r="BE184" s="56"/>
      <c r="BF184" s="56"/>
      <c r="BG184" s="56"/>
      <c r="BH184" s="56"/>
      <c r="BI184" s="56"/>
      <c r="BJ184" s="56"/>
      <c r="BK184" s="56"/>
      <c r="BL184" s="56"/>
      <c r="BM184" s="56"/>
      <c r="BN184" s="56"/>
      <c r="BO184" s="56"/>
      <c r="BP184" s="56"/>
      <c r="BQ184" s="56"/>
      <c r="BR184" s="56"/>
      <c r="BS184" s="56"/>
      <c r="BT184" s="56"/>
      <c r="BU184" s="56"/>
      <c r="BV184" s="56"/>
      <c r="BW184" s="56"/>
      <c r="BX184" s="56"/>
      <c r="BY184" s="56"/>
      <c r="BZ184" s="56"/>
      <c r="CA184" s="56"/>
      <c r="CB184" s="56"/>
      <c r="CC184" s="56"/>
      <c r="CD184" s="56"/>
      <c r="CE184" s="56"/>
    </row>
    <row r="185" spans="1:83" x14ac:dyDescent="0.35">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c r="BC185" s="56"/>
      <c r="BD185" s="56"/>
      <c r="BE185" s="56"/>
      <c r="BF185" s="56"/>
      <c r="BG185" s="56"/>
      <c r="BH185" s="56"/>
      <c r="BI185" s="56"/>
      <c r="BJ185" s="56"/>
      <c r="BK185" s="56"/>
      <c r="BL185" s="56"/>
      <c r="BM185" s="56"/>
      <c r="BN185" s="56"/>
      <c r="BO185" s="56"/>
      <c r="BP185" s="56"/>
      <c r="BQ185" s="56"/>
      <c r="BR185" s="56"/>
      <c r="BS185" s="56"/>
      <c r="BT185" s="56"/>
      <c r="BU185" s="56"/>
      <c r="BV185" s="56"/>
      <c r="BW185" s="56"/>
      <c r="BX185" s="56"/>
      <c r="BY185" s="56"/>
      <c r="BZ185" s="56"/>
      <c r="CA185" s="56"/>
      <c r="CB185" s="56"/>
      <c r="CC185" s="56"/>
      <c r="CD185" s="56"/>
      <c r="CE185" s="56"/>
    </row>
    <row r="186" spans="1:83" x14ac:dyDescent="0.35">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c r="BB186" s="56"/>
      <c r="BC186" s="56"/>
      <c r="BD186" s="56"/>
      <c r="BE186" s="56"/>
      <c r="BF186" s="56"/>
      <c r="BG186" s="56"/>
      <c r="BH186" s="56"/>
      <c r="BI186" s="56"/>
      <c r="BJ186" s="56"/>
      <c r="BK186" s="56"/>
      <c r="BL186" s="56"/>
      <c r="BM186" s="56"/>
      <c r="BN186" s="56"/>
      <c r="BO186" s="56"/>
      <c r="BP186" s="56"/>
      <c r="BQ186" s="56"/>
      <c r="BR186" s="56"/>
      <c r="BS186" s="56"/>
      <c r="BT186" s="56"/>
      <c r="BU186" s="56"/>
      <c r="BV186" s="56"/>
      <c r="BW186" s="56"/>
      <c r="BX186" s="56"/>
      <c r="BY186" s="56"/>
      <c r="BZ186" s="56"/>
      <c r="CA186" s="56"/>
      <c r="CB186" s="56"/>
      <c r="CC186" s="56"/>
      <c r="CD186" s="56"/>
      <c r="CE186" s="56"/>
    </row>
    <row r="187" spans="1:83" x14ac:dyDescent="0.35">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c r="BB187" s="56"/>
      <c r="BC187" s="56"/>
      <c r="BD187" s="56"/>
      <c r="BE187" s="56"/>
      <c r="BF187" s="56"/>
      <c r="BG187" s="56"/>
      <c r="BH187" s="56"/>
      <c r="BI187" s="56"/>
      <c r="BJ187" s="56"/>
      <c r="BK187" s="56"/>
      <c r="BL187" s="56"/>
      <c r="BM187" s="56"/>
      <c r="BN187" s="56"/>
      <c r="BO187" s="56"/>
      <c r="BP187" s="56"/>
      <c r="BQ187" s="56"/>
      <c r="BR187" s="56"/>
      <c r="BS187" s="56"/>
      <c r="BT187" s="56"/>
      <c r="BU187" s="56"/>
      <c r="BV187" s="56"/>
      <c r="BW187" s="56"/>
      <c r="BX187" s="56"/>
      <c r="BY187" s="56"/>
      <c r="BZ187" s="56"/>
      <c r="CA187" s="56"/>
      <c r="CB187" s="56"/>
      <c r="CC187" s="56"/>
      <c r="CD187" s="56"/>
      <c r="CE187" s="56"/>
    </row>
    <row r="188" spans="1:83" x14ac:dyDescent="0.35">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c r="BB188" s="56"/>
      <c r="BC188" s="56"/>
      <c r="BD188" s="56"/>
      <c r="BE188" s="56"/>
      <c r="BF188" s="56"/>
      <c r="BG188" s="56"/>
      <c r="BH188" s="56"/>
      <c r="BI188" s="56"/>
      <c r="BJ188" s="56"/>
      <c r="BK188" s="56"/>
      <c r="BL188" s="56"/>
      <c r="BM188" s="56"/>
      <c r="BN188" s="56"/>
      <c r="BO188" s="56"/>
      <c r="BP188" s="56"/>
      <c r="BQ188" s="56"/>
      <c r="BR188" s="56"/>
      <c r="BS188" s="56"/>
      <c r="BT188" s="56"/>
      <c r="BU188" s="56"/>
      <c r="BV188" s="56"/>
      <c r="BW188" s="56"/>
      <c r="BX188" s="56"/>
      <c r="BY188" s="56"/>
      <c r="BZ188" s="56"/>
      <c r="CA188" s="56"/>
      <c r="CB188" s="56"/>
      <c r="CC188" s="56"/>
      <c r="CD188" s="56"/>
      <c r="CE188" s="56"/>
    </row>
    <row r="189" spans="1:83" x14ac:dyDescent="0.35">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c r="BB189" s="56"/>
      <c r="BC189" s="56"/>
      <c r="BD189" s="56"/>
      <c r="BE189" s="56"/>
      <c r="BF189" s="56"/>
      <c r="BG189" s="56"/>
      <c r="BH189" s="56"/>
      <c r="BI189" s="56"/>
      <c r="BJ189" s="56"/>
      <c r="BK189" s="56"/>
      <c r="BL189" s="56"/>
      <c r="BM189" s="56"/>
      <c r="BN189" s="56"/>
      <c r="BO189" s="56"/>
      <c r="BP189" s="56"/>
      <c r="BQ189" s="56"/>
      <c r="BR189" s="56"/>
      <c r="BS189" s="56"/>
      <c r="BT189" s="56"/>
      <c r="BU189" s="56"/>
      <c r="BV189" s="56"/>
      <c r="BW189" s="56"/>
      <c r="BX189" s="56"/>
      <c r="BY189" s="56"/>
      <c r="BZ189" s="56"/>
      <c r="CA189" s="56"/>
      <c r="CB189" s="56"/>
      <c r="CC189" s="56"/>
      <c r="CD189" s="56"/>
      <c r="CE189" s="56"/>
    </row>
    <row r="190" spans="1:83" x14ac:dyDescent="0.35">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c r="BB190" s="56"/>
      <c r="BC190" s="56"/>
      <c r="BD190" s="56"/>
      <c r="BE190" s="56"/>
      <c r="BF190" s="56"/>
      <c r="BG190" s="56"/>
      <c r="BH190" s="56"/>
      <c r="BI190" s="56"/>
      <c r="BJ190" s="56"/>
      <c r="BK190" s="56"/>
      <c r="BL190" s="56"/>
      <c r="BM190" s="56"/>
      <c r="BN190" s="56"/>
      <c r="BO190" s="56"/>
      <c r="BP190" s="56"/>
      <c r="BQ190" s="56"/>
      <c r="BR190" s="56"/>
      <c r="BS190" s="56"/>
      <c r="BT190" s="56"/>
      <c r="BU190" s="56"/>
      <c r="BV190" s="56"/>
      <c r="BW190" s="56"/>
      <c r="BX190" s="56"/>
      <c r="BY190" s="56"/>
      <c r="BZ190" s="56"/>
      <c r="CA190" s="56"/>
      <c r="CB190" s="56"/>
      <c r="CC190" s="56"/>
      <c r="CD190" s="56"/>
      <c r="CE190" s="56"/>
    </row>
    <row r="191" spans="1:83" x14ac:dyDescent="0.35">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c r="BB191" s="56"/>
      <c r="BC191" s="56"/>
      <c r="BD191" s="56"/>
      <c r="BE191" s="56"/>
      <c r="BF191" s="56"/>
      <c r="BG191" s="56"/>
      <c r="BH191" s="56"/>
      <c r="BI191" s="56"/>
      <c r="BJ191" s="56"/>
      <c r="BK191" s="56"/>
      <c r="BL191" s="56"/>
      <c r="BM191" s="56"/>
      <c r="BN191" s="56"/>
      <c r="BO191" s="56"/>
      <c r="BP191" s="56"/>
      <c r="BQ191" s="56"/>
      <c r="BR191" s="56"/>
      <c r="BS191" s="56"/>
      <c r="BT191" s="56"/>
      <c r="BU191" s="56"/>
      <c r="BV191" s="56"/>
      <c r="BW191" s="56"/>
      <c r="BX191" s="56"/>
      <c r="BY191" s="56"/>
      <c r="BZ191" s="56"/>
      <c r="CA191" s="56"/>
      <c r="CB191" s="56"/>
      <c r="CC191" s="56"/>
      <c r="CD191" s="56"/>
      <c r="CE191" s="56"/>
    </row>
    <row r="192" spans="1:83" x14ac:dyDescent="0.35">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c r="BB192" s="56"/>
      <c r="BC192" s="56"/>
      <c r="BD192" s="56"/>
      <c r="BE192" s="56"/>
      <c r="BF192" s="56"/>
      <c r="BG192" s="56"/>
      <c r="BH192" s="56"/>
      <c r="BI192" s="56"/>
      <c r="BJ192" s="56"/>
      <c r="BK192" s="56"/>
      <c r="BL192" s="56"/>
      <c r="BM192" s="56"/>
      <c r="BN192" s="56"/>
      <c r="BO192" s="56"/>
      <c r="BP192" s="56"/>
      <c r="BQ192" s="56"/>
      <c r="BR192" s="56"/>
      <c r="BS192" s="56"/>
      <c r="BT192" s="56"/>
      <c r="BU192" s="56"/>
      <c r="BV192" s="56"/>
      <c r="BW192" s="56"/>
      <c r="BX192" s="56"/>
      <c r="BY192" s="56"/>
      <c r="BZ192" s="56"/>
      <c r="CA192" s="56"/>
      <c r="CB192" s="56"/>
      <c r="CC192" s="56"/>
      <c r="CD192" s="56"/>
      <c r="CE192" s="56"/>
    </row>
    <row r="193" spans="2:83" x14ac:dyDescent="0.35">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c r="BB193" s="56"/>
      <c r="BC193" s="56"/>
      <c r="BD193" s="56"/>
      <c r="BE193" s="56"/>
      <c r="BF193" s="56"/>
      <c r="BG193" s="56"/>
      <c r="BH193" s="56"/>
      <c r="BI193" s="56"/>
      <c r="BJ193" s="56"/>
      <c r="BK193" s="56"/>
      <c r="BL193" s="56"/>
      <c r="BM193" s="56"/>
      <c r="BN193" s="56"/>
      <c r="BO193" s="56"/>
      <c r="BP193" s="56"/>
      <c r="BQ193" s="56"/>
      <c r="BR193" s="56"/>
      <c r="BS193" s="56"/>
      <c r="BT193" s="56"/>
      <c r="BU193" s="56"/>
      <c r="BV193" s="56"/>
      <c r="BW193" s="56"/>
      <c r="BX193" s="56"/>
      <c r="BY193" s="56"/>
      <c r="BZ193" s="56"/>
      <c r="CA193" s="56"/>
      <c r="CB193" s="56"/>
      <c r="CC193" s="56"/>
      <c r="CD193" s="56"/>
      <c r="CE193" s="56"/>
    </row>
    <row r="194" spans="2:83" x14ac:dyDescent="0.35">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c r="BB194" s="56"/>
      <c r="BC194" s="56"/>
      <c r="BD194" s="56"/>
      <c r="BE194" s="56"/>
      <c r="BF194" s="56"/>
      <c r="BG194" s="56"/>
      <c r="BH194" s="56"/>
      <c r="BI194" s="56"/>
      <c r="BJ194" s="56"/>
      <c r="BK194" s="56"/>
      <c r="BL194" s="56"/>
      <c r="BM194" s="56"/>
      <c r="BN194" s="56"/>
      <c r="BO194" s="56"/>
      <c r="BP194" s="56"/>
      <c r="BQ194" s="56"/>
      <c r="BR194" s="56"/>
      <c r="BS194" s="56"/>
      <c r="BT194" s="56"/>
      <c r="BU194" s="56"/>
      <c r="BV194" s="56"/>
      <c r="BW194" s="56"/>
      <c r="BX194" s="56"/>
      <c r="BY194" s="56"/>
      <c r="BZ194" s="56"/>
      <c r="CA194" s="56"/>
      <c r="CB194" s="56"/>
      <c r="CC194" s="56"/>
      <c r="CD194" s="56"/>
      <c r="CE194" s="56"/>
    </row>
    <row r="195" spans="2:83" x14ac:dyDescent="0.35">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c r="BB195" s="56"/>
      <c r="BC195" s="56"/>
      <c r="BD195" s="56"/>
      <c r="BE195" s="56"/>
      <c r="BF195" s="56"/>
      <c r="BG195" s="56"/>
      <c r="BH195" s="56"/>
      <c r="BI195" s="56"/>
      <c r="BJ195" s="56"/>
      <c r="BK195" s="56"/>
      <c r="BL195" s="56"/>
      <c r="BM195" s="56"/>
      <c r="BN195" s="56"/>
      <c r="BO195" s="56"/>
      <c r="BP195" s="56"/>
      <c r="BQ195" s="56"/>
      <c r="BR195" s="56"/>
      <c r="BS195" s="56"/>
      <c r="BT195" s="56"/>
      <c r="BU195" s="56"/>
      <c r="BV195" s="56"/>
      <c r="BW195" s="56"/>
      <c r="BX195" s="56"/>
      <c r="BY195" s="56"/>
      <c r="BZ195" s="56"/>
      <c r="CA195" s="56"/>
      <c r="CB195" s="56"/>
      <c r="CC195" s="56"/>
      <c r="CD195" s="56"/>
      <c r="CE195" s="56"/>
    </row>
    <row r="196" spans="2:83" x14ac:dyDescent="0.35">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c r="BB196" s="56"/>
      <c r="BC196" s="56"/>
      <c r="BD196" s="56"/>
      <c r="BE196" s="56"/>
      <c r="BF196" s="56"/>
      <c r="BG196" s="56"/>
      <c r="BH196" s="56"/>
      <c r="BI196" s="56"/>
      <c r="BJ196" s="56"/>
      <c r="BK196" s="56"/>
      <c r="BL196" s="56"/>
      <c r="BM196" s="56"/>
      <c r="BN196" s="56"/>
      <c r="BO196" s="56"/>
      <c r="BP196" s="56"/>
      <c r="BQ196" s="56"/>
      <c r="BR196" s="56"/>
      <c r="BS196" s="56"/>
      <c r="BT196" s="56"/>
      <c r="BU196" s="56"/>
      <c r="BV196" s="56"/>
      <c r="BW196" s="56"/>
      <c r="BX196" s="56"/>
      <c r="BY196" s="56"/>
      <c r="BZ196" s="56"/>
      <c r="CA196" s="56"/>
      <c r="CB196" s="56"/>
      <c r="CC196" s="56"/>
      <c r="CD196" s="56"/>
      <c r="CE196" s="56"/>
    </row>
    <row r="197" spans="2:83" x14ac:dyDescent="0.35">
      <c r="B197" s="56"/>
      <c r="C197" s="56"/>
      <c r="D197" s="56"/>
      <c r="E197" s="56"/>
      <c r="F197" s="56"/>
      <c r="G197" s="56"/>
      <c r="H197" s="56"/>
      <c r="I197" s="56"/>
      <c r="BI197" s="56"/>
      <c r="BJ197" s="56"/>
      <c r="BK197" s="56"/>
      <c r="BL197" s="56"/>
      <c r="BM197" s="56"/>
      <c r="BN197" s="56"/>
    </row>
    <row r="198" spans="2:83" x14ac:dyDescent="0.35">
      <c r="B198" s="56"/>
      <c r="C198" s="56"/>
      <c r="D198" s="56"/>
      <c r="E198" s="56"/>
      <c r="F198" s="56"/>
      <c r="G198" s="56"/>
      <c r="H198" s="56"/>
      <c r="I198" s="56"/>
      <c r="BI198" s="56"/>
      <c r="BJ198" s="56"/>
      <c r="BK198" s="56"/>
      <c r="BL198" s="56"/>
      <c r="BM198" s="56"/>
      <c r="BN198" s="56"/>
    </row>
    <row r="199" spans="2:83" x14ac:dyDescent="0.35">
      <c r="B199" s="56"/>
      <c r="C199" s="56"/>
      <c r="D199" s="56"/>
      <c r="E199" s="56"/>
      <c r="F199" s="56"/>
      <c r="G199" s="56"/>
      <c r="H199" s="56"/>
      <c r="I199" s="56"/>
      <c r="BI199" s="56"/>
      <c r="BJ199" s="56"/>
      <c r="BK199" s="56"/>
      <c r="BL199" s="56"/>
      <c r="BM199" s="56"/>
      <c r="BN199" s="56"/>
    </row>
    <row r="200" spans="2:83" x14ac:dyDescent="0.35">
      <c r="B200" s="56"/>
      <c r="C200" s="56"/>
      <c r="D200" s="56"/>
      <c r="E200" s="56"/>
      <c r="F200" s="56"/>
      <c r="G200" s="56"/>
      <c r="H200" s="56"/>
      <c r="I200" s="56"/>
      <c r="BI200" s="56"/>
      <c r="BJ200" s="56"/>
      <c r="BK200" s="56"/>
      <c r="BL200" s="56"/>
      <c r="BM200" s="56"/>
      <c r="BN200" s="56"/>
    </row>
    <row r="201" spans="2:83" x14ac:dyDescent="0.35">
      <c r="BI201" s="56"/>
      <c r="BJ201" s="56"/>
      <c r="BK201" s="56"/>
      <c r="BL201" s="56"/>
      <c r="BM201" s="56"/>
      <c r="BN201" s="56"/>
    </row>
    <row r="202" spans="2:83" x14ac:dyDescent="0.35">
      <c r="BI202" s="56"/>
      <c r="BJ202" s="56"/>
      <c r="BK202" s="56"/>
      <c r="BL202" s="56"/>
      <c r="BM202" s="56"/>
      <c r="BN202" s="56"/>
    </row>
    <row r="203" spans="2:83" x14ac:dyDescent="0.35">
      <c r="BI203" s="56"/>
      <c r="BJ203" s="56"/>
      <c r="BK203" s="56"/>
      <c r="BL203" s="56"/>
      <c r="BM203" s="56"/>
      <c r="BN203" s="56"/>
    </row>
    <row r="204" spans="2:83" x14ac:dyDescent="0.35">
      <c r="BI204" s="56"/>
      <c r="BJ204" s="56"/>
      <c r="BK204" s="56"/>
      <c r="BL204" s="56"/>
      <c r="BM204" s="56"/>
      <c r="BN204" s="56"/>
    </row>
  </sheetData>
  <mergeCells count="1267">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6" sqref="C6"/>
    </sheetView>
  </sheetViews>
  <sheetFormatPr baseColWidth="10" defaultRowHeight="14.5" x14ac:dyDescent="0.35"/>
  <cols>
    <col min="2" max="2" width="24.1796875" customWidth="1"/>
    <col min="3" max="3" width="70.1796875" customWidth="1"/>
    <col min="4" max="4" width="29.81640625" customWidth="1"/>
  </cols>
  <sheetData>
    <row r="1" spans="1:37" ht="22.5" x14ac:dyDescent="0.35">
      <c r="A1" s="56"/>
      <c r="B1" s="540" t="s">
        <v>49</v>
      </c>
      <c r="C1" s="540"/>
      <c r="D1" s="540"/>
      <c r="E1" s="56"/>
      <c r="F1" s="56"/>
      <c r="G1" s="56"/>
      <c r="H1" s="56"/>
      <c r="I1" s="56"/>
      <c r="J1" s="56"/>
      <c r="K1" s="56"/>
      <c r="L1" s="56"/>
      <c r="M1" s="56"/>
      <c r="N1" s="56"/>
      <c r="O1" s="56"/>
      <c r="P1" s="56"/>
      <c r="Q1" s="56"/>
      <c r="R1" s="56"/>
      <c r="S1" s="56"/>
      <c r="T1" s="56"/>
      <c r="U1" s="56"/>
      <c r="V1" s="56"/>
      <c r="W1" s="56"/>
      <c r="X1" s="56"/>
      <c r="Y1" s="56"/>
      <c r="Z1" s="56"/>
      <c r="AA1" s="56"/>
      <c r="AB1" s="56"/>
      <c r="AC1" s="56"/>
      <c r="AD1" s="56"/>
      <c r="AE1" s="56"/>
    </row>
    <row r="2" spans="1:37" x14ac:dyDescent="0.35">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row>
    <row r="3" spans="1:37" ht="25" x14ac:dyDescent="0.35">
      <c r="A3" s="56"/>
      <c r="B3" s="7"/>
      <c r="C3" s="8" t="s">
        <v>46</v>
      </c>
      <c r="D3" s="8" t="s">
        <v>4</v>
      </c>
      <c r="E3" s="56"/>
      <c r="F3" s="56"/>
      <c r="G3" s="56"/>
      <c r="H3" s="56"/>
      <c r="I3" s="56"/>
      <c r="J3" s="56"/>
      <c r="K3" s="56"/>
      <c r="L3" s="56"/>
      <c r="M3" s="56"/>
      <c r="N3" s="56"/>
      <c r="O3" s="56"/>
      <c r="P3" s="56"/>
      <c r="Q3" s="56"/>
      <c r="R3" s="56"/>
      <c r="S3" s="56"/>
      <c r="T3" s="56"/>
      <c r="U3" s="56"/>
      <c r="V3" s="56"/>
      <c r="W3" s="56"/>
      <c r="X3" s="56"/>
      <c r="Y3" s="56"/>
      <c r="Z3" s="56"/>
      <c r="AA3" s="56"/>
      <c r="AB3" s="56"/>
      <c r="AC3" s="56"/>
      <c r="AD3" s="56"/>
      <c r="AE3" s="56"/>
    </row>
    <row r="4" spans="1:37" ht="50" x14ac:dyDescent="0.35">
      <c r="A4" s="56"/>
      <c r="B4" s="9" t="s">
        <v>45</v>
      </c>
      <c r="C4" s="10" t="s">
        <v>93</v>
      </c>
      <c r="D4" s="11">
        <v>0.2</v>
      </c>
      <c r="E4" s="56"/>
      <c r="F4" s="56"/>
      <c r="G4" s="56"/>
      <c r="H4" s="56"/>
      <c r="I4" s="56"/>
      <c r="J4" s="56"/>
      <c r="K4" s="56"/>
      <c r="L4" s="56"/>
      <c r="M4" s="56"/>
      <c r="N4" s="56"/>
      <c r="O4" s="56"/>
      <c r="P4" s="56"/>
      <c r="Q4" s="56"/>
      <c r="R4" s="56"/>
      <c r="S4" s="56"/>
      <c r="T4" s="56"/>
      <c r="U4" s="56"/>
      <c r="V4" s="56"/>
      <c r="W4" s="56"/>
      <c r="X4" s="56"/>
      <c r="Y4" s="56"/>
      <c r="Z4" s="56"/>
      <c r="AA4" s="56"/>
      <c r="AB4" s="56"/>
      <c r="AC4" s="56"/>
      <c r="AD4" s="56"/>
      <c r="AE4" s="56"/>
    </row>
    <row r="5" spans="1:37" ht="50" x14ac:dyDescent="0.35">
      <c r="A5" s="56"/>
      <c r="B5" s="12" t="s">
        <v>47</v>
      </c>
      <c r="C5" s="13" t="s">
        <v>94</v>
      </c>
      <c r="D5" s="14">
        <v>0.4</v>
      </c>
      <c r="E5" s="56"/>
      <c r="F5" s="56"/>
      <c r="G5" s="56"/>
      <c r="H5" s="56"/>
      <c r="I5" s="56"/>
      <c r="J5" s="56"/>
      <c r="K5" s="56"/>
      <c r="L5" s="56"/>
      <c r="M5" s="56"/>
      <c r="N5" s="56"/>
      <c r="O5" s="56"/>
      <c r="P5" s="56"/>
      <c r="Q5" s="56"/>
      <c r="R5" s="56"/>
      <c r="S5" s="56"/>
      <c r="T5" s="56"/>
      <c r="U5" s="56"/>
      <c r="V5" s="56"/>
      <c r="W5" s="56"/>
      <c r="X5" s="56"/>
      <c r="Y5" s="56"/>
      <c r="Z5" s="56"/>
      <c r="AA5" s="56"/>
      <c r="AB5" s="56"/>
      <c r="AC5" s="56"/>
      <c r="AD5" s="56"/>
      <c r="AE5" s="56"/>
    </row>
    <row r="6" spans="1:37" ht="50" x14ac:dyDescent="0.35">
      <c r="A6" s="56"/>
      <c r="B6" s="15" t="s">
        <v>98</v>
      </c>
      <c r="C6" s="13" t="s">
        <v>95</v>
      </c>
      <c r="D6" s="14">
        <v>0.6</v>
      </c>
      <c r="E6" s="56"/>
      <c r="F6" s="56"/>
      <c r="G6" s="56"/>
      <c r="H6" s="56"/>
      <c r="I6" s="56"/>
      <c r="J6" s="56"/>
      <c r="K6" s="56"/>
      <c r="L6" s="56"/>
      <c r="M6" s="56"/>
      <c r="N6" s="56"/>
      <c r="O6" s="56"/>
      <c r="P6" s="56"/>
      <c r="Q6" s="56"/>
      <c r="R6" s="56"/>
      <c r="S6" s="56"/>
      <c r="T6" s="56"/>
      <c r="U6" s="56"/>
      <c r="V6" s="56"/>
      <c r="W6" s="56"/>
      <c r="X6" s="56"/>
      <c r="Y6" s="56"/>
      <c r="Z6" s="56"/>
      <c r="AA6" s="56"/>
      <c r="AB6" s="56"/>
      <c r="AC6" s="56"/>
      <c r="AD6" s="56"/>
      <c r="AE6" s="56"/>
    </row>
    <row r="7" spans="1:37" ht="75" x14ac:dyDescent="0.35">
      <c r="A7" s="56"/>
      <c r="B7" s="16" t="s">
        <v>6</v>
      </c>
      <c r="C7" s="13" t="s">
        <v>96</v>
      </c>
      <c r="D7" s="14">
        <v>0.8</v>
      </c>
      <c r="E7" s="56"/>
      <c r="F7" s="56"/>
      <c r="G7" s="56"/>
      <c r="H7" s="56"/>
      <c r="I7" s="56"/>
      <c r="J7" s="56"/>
      <c r="K7" s="56"/>
      <c r="L7" s="56"/>
      <c r="M7" s="56"/>
      <c r="N7" s="56"/>
      <c r="O7" s="56"/>
      <c r="P7" s="56"/>
      <c r="Q7" s="56"/>
      <c r="R7" s="56"/>
      <c r="S7" s="56"/>
      <c r="T7" s="56"/>
      <c r="U7" s="56"/>
      <c r="V7" s="56"/>
      <c r="W7" s="56"/>
      <c r="X7" s="56"/>
      <c r="Y7" s="56"/>
      <c r="Z7" s="56"/>
      <c r="AA7" s="56"/>
      <c r="AB7" s="56"/>
      <c r="AC7" s="56"/>
      <c r="AD7" s="56"/>
      <c r="AE7" s="56"/>
    </row>
    <row r="8" spans="1:37" ht="50" x14ac:dyDescent="0.35">
      <c r="A8" s="56"/>
      <c r="B8" s="17" t="s">
        <v>48</v>
      </c>
      <c r="C8" s="13" t="s">
        <v>97</v>
      </c>
      <c r="D8" s="14">
        <v>1</v>
      </c>
      <c r="E8" s="56"/>
      <c r="F8" s="56"/>
      <c r="G8" s="56"/>
      <c r="H8" s="56"/>
      <c r="I8" s="56"/>
      <c r="J8" s="56"/>
      <c r="K8" s="56"/>
      <c r="L8" s="56"/>
      <c r="M8" s="56"/>
      <c r="N8" s="56"/>
      <c r="O8" s="56"/>
      <c r="P8" s="56"/>
      <c r="Q8" s="56"/>
      <c r="R8" s="56"/>
      <c r="S8" s="56"/>
      <c r="T8" s="56"/>
      <c r="U8" s="56"/>
      <c r="V8" s="56"/>
      <c r="W8" s="56"/>
      <c r="X8" s="56"/>
      <c r="Y8" s="56"/>
      <c r="Z8" s="56"/>
      <c r="AA8" s="56"/>
      <c r="AB8" s="56"/>
      <c r="AC8" s="56"/>
      <c r="AD8" s="56"/>
      <c r="AE8" s="56"/>
    </row>
    <row r="9" spans="1:37" x14ac:dyDescent="0.35">
      <c r="A9" s="56"/>
      <c r="B9" s="80"/>
      <c r="C9" s="80"/>
      <c r="D9" s="80"/>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row>
    <row r="10" spans="1:37" x14ac:dyDescent="0.35">
      <c r="A10" s="56"/>
      <c r="B10" s="81"/>
      <c r="C10" s="80"/>
      <c r="D10" s="80"/>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row>
    <row r="11" spans="1:37" x14ac:dyDescent="0.35">
      <c r="A11" s="56"/>
      <c r="B11" s="80"/>
      <c r="C11" s="80"/>
      <c r="D11" s="80"/>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row>
    <row r="12" spans="1:37" x14ac:dyDescent="0.35">
      <c r="A12" s="56"/>
      <c r="B12" s="80"/>
      <c r="C12" s="80"/>
      <c r="D12" s="80"/>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row>
    <row r="13" spans="1:37" x14ac:dyDescent="0.35">
      <c r="A13" s="56"/>
      <c r="B13" s="80"/>
      <c r="C13" s="80"/>
      <c r="D13" s="80"/>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row>
    <row r="14" spans="1:37" x14ac:dyDescent="0.35">
      <c r="A14" s="56"/>
      <c r="B14" s="80"/>
      <c r="C14" s="80"/>
      <c r="D14" s="80"/>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row>
    <row r="15" spans="1:37" x14ac:dyDescent="0.35">
      <c r="A15" s="56"/>
      <c r="B15" s="80"/>
      <c r="C15" s="80"/>
      <c r="D15" s="80"/>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row>
    <row r="16" spans="1:37" x14ac:dyDescent="0.35">
      <c r="A16" s="56"/>
      <c r="B16" s="80"/>
      <c r="C16" s="80"/>
      <c r="D16" s="80"/>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row>
    <row r="17" spans="1:37" x14ac:dyDescent="0.35">
      <c r="A17" s="56"/>
      <c r="B17" s="80"/>
      <c r="C17" s="80"/>
      <c r="D17" s="80"/>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row>
    <row r="18" spans="1:37" x14ac:dyDescent="0.35">
      <c r="A18" s="56"/>
      <c r="B18" s="80"/>
      <c r="C18" s="80"/>
      <c r="D18" s="80"/>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row>
    <row r="19" spans="1:37" x14ac:dyDescent="0.35">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row>
    <row r="20" spans="1:37" x14ac:dyDescent="0.35">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row>
    <row r="21" spans="1:37" x14ac:dyDescent="0.35">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row>
    <row r="22" spans="1:37" x14ac:dyDescent="0.35">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row>
    <row r="23" spans="1:37" x14ac:dyDescent="0.35">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row>
    <row r="24" spans="1:37" x14ac:dyDescent="0.35">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row>
    <row r="25" spans="1:37" x14ac:dyDescent="0.35">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row>
    <row r="26" spans="1:37" x14ac:dyDescent="0.35">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row>
    <row r="27" spans="1:37" x14ac:dyDescent="0.35">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row>
    <row r="28" spans="1:37" x14ac:dyDescent="0.35">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row>
    <row r="29" spans="1:37" x14ac:dyDescent="0.35">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row>
    <row r="30" spans="1:37" x14ac:dyDescent="0.35">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row>
    <row r="31" spans="1:37" x14ac:dyDescent="0.35">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row>
    <row r="32" spans="1:37" x14ac:dyDescent="0.35">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row>
    <row r="33" spans="1:31" x14ac:dyDescent="0.35">
      <c r="A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row>
    <row r="34" spans="1:31" x14ac:dyDescent="0.35">
      <c r="A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row>
    <row r="35" spans="1:31" x14ac:dyDescent="0.35">
      <c r="A35" s="56"/>
    </row>
    <row r="36" spans="1:31" x14ac:dyDescent="0.35">
      <c r="A36" s="56"/>
    </row>
    <row r="37" spans="1:31" x14ac:dyDescent="0.35">
      <c r="A37" s="56"/>
    </row>
    <row r="38" spans="1:31" x14ac:dyDescent="0.35">
      <c r="A38" s="56"/>
    </row>
    <row r="39" spans="1:31" x14ac:dyDescent="0.35">
      <c r="A39" s="56"/>
    </row>
    <row r="40" spans="1:31" x14ac:dyDescent="0.35">
      <c r="A40" s="56"/>
    </row>
    <row r="41" spans="1:31" x14ac:dyDescent="0.35">
      <c r="A41" s="56"/>
    </row>
    <row r="42" spans="1:31" x14ac:dyDescent="0.35">
      <c r="A42" s="56"/>
    </row>
    <row r="43" spans="1:31" x14ac:dyDescent="0.35">
      <c r="A43" s="56"/>
    </row>
    <row r="44" spans="1:31" x14ac:dyDescent="0.35">
      <c r="A44" s="56"/>
    </row>
    <row r="45" spans="1:31" x14ac:dyDescent="0.35">
      <c r="A45" s="56"/>
    </row>
    <row r="46" spans="1:31" x14ac:dyDescent="0.35">
      <c r="A46" s="56"/>
    </row>
    <row r="47" spans="1:31" x14ac:dyDescent="0.35">
      <c r="A47" s="56"/>
    </row>
    <row r="48" spans="1:31" x14ac:dyDescent="0.35">
      <c r="A48" s="56"/>
    </row>
    <row r="49" spans="1:1" x14ac:dyDescent="0.35">
      <c r="A49" s="56"/>
    </row>
    <row r="50" spans="1:1" x14ac:dyDescent="0.35">
      <c r="A50" s="56"/>
    </row>
    <row r="51" spans="1:1" x14ac:dyDescent="0.35">
      <c r="A51" s="56"/>
    </row>
    <row r="52" spans="1:1" x14ac:dyDescent="0.35">
      <c r="A52" s="56"/>
    </row>
    <row r="53" spans="1:1" x14ac:dyDescent="0.35">
      <c r="A53" s="56"/>
    </row>
    <row r="54" spans="1:1" x14ac:dyDescent="0.35">
      <c r="A54" s="56"/>
    </row>
    <row r="55" spans="1:1" x14ac:dyDescent="0.35">
      <c r="A55" s="56"/>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topLeftCell="A204" zoomScale="70" zoomScaleNormal="70" workbookViewId="0">
      <selection activeCell="C218" sqref="C218"/>
    </sheetView>
  </sheetViews>
  <sheetFormatPr baseColWidth="10" defaultRowHeight="14.5" x14ac:dyDescent="0.35"/>
  <cols>
    <col min="2" max="2" width="40.453125" customWidth="1"/>
    <col min="3" max="3" width="74.81640625" customWidth="1"/>
    <col min="4" max="4" width="135" bestFit="1" customWidth="1"/>
    <col min="5" max="5" width="144.7265625" bestFit="1" customWidth="1"/>
  </cols>
  <sheetData>
    <row r="1" spans="1:21" ht="32.5" x14ac:dyDescent="0.35">
      <c r="A1" s="56"/>
      <c r="B1" s="541" t="s">
        <v>57</v>
      </c>
      <c r="C1" s="541"/>
      <c r="D1" s="541"/>
      <c r="E1" s="56"/>
      <c r="F1" s="56"/>
      <c r="G1" s="56"/>
      <c r="H1" s="56"/>
      <c r="I1" s="56"/>
      <c r="J1" s="56"/>
      <c r="K1" s="56"/>
      <c r="L1" s="56"/>
      <c r="M1" s="56"/>
      <c r="N1" s="56"/>
      <c r="O1" s="56"/>
      <c r="P1" s="56"/>
      <c r="Q1" s="56"/>
      <c r="R1" s="56"/>
      <c r="S1" s="56"/>
      <c r="T1" s="56"/>
      <c r="U1" s="56"/>
    </row>
    <row r="2" spans="1:21" x14ac:dyDescent="0.35">
      <c r="A2" s="56"/>
      <c r="B2" s="56"/>
      <c r="C2" s="56"/>
      <c r="D2" s="56"/>
      <c r="E2" s="56"/>
      <c r="F2" s="56"/>
      <c r="G2" s="56"/>
      <c r="H2" s="56"/>
      <c r="I2" s="56"/>
      <c r="J2" s="56"/>
      <c r="K2" s="56"/>
      <c r="L2" s="56"/>
      <c r="M2" s="56"/>
      <c r="N2" s="56"/>
      <c r="O2" s="56"/>
      <c r="P2" s="56"/>
      <c r="Q2" s="56"/>
      <c r="R2" s="56"/>
      <c r="S2" s="56"/>
      <c r="T2" s="56"/>
      <c r="U2" s="56"/>
    </row>
    <row r="3" spans="1:21" ht="30.5" x14ac:dyDescent="0.35">
      <c r="A3" s="56"/>
      <c r="B3" s="77"/>
      <c r="C3" s="30" t="s">
        <v>50</v>
      </c>
      <c r="D3" s="30" t="s">
        <v>51</v>
      </c>
      <c r="E3" s="56"/>
      <c r="F3" s="56"/>
      <c r="G3" s="56"/>
      <c r="H3" s="56"/>
      <c r="I3" s="56"/>
      <c r="J3" s="56"/>
      <c r="K3" s="56"/>
      <c r="L3" s="56"/>
      <c r="M3" s="56"/>
      <c r="N3" s="56"/>
      <c r="O3" s="56"/>
      <c r="P3" s="56"/>
      <c r="Q3" s="56"/>
      <c r="R3" s="56"/>
      <c r="S3" s="56"/>
      <c r="T3" s="56"/>
      <c r="U3" s="56"/>
    </row>
    <row r="4" spans="1:21" ht="32.5" x14ac:dyDescent="0.35">
      <c r="A4" s="76" t="s">
        <v>77</v>
      </c>
      <c r="B4" s="33" t="s">
        <v>92</v>
      </c>
      <c r="C4" s="38" t="s">
        <v>132</v>
      </c>
      <c r="D4" s="31" t="s">
        <v>90</v>
      </c>
      <c r="E4" s="56"/>
      <c r="F4" s="56"/>
      <c r="G4" s="56"/>
      <c r="H4" s="56"/>
      <c r="I4" s="56"/>
      <c r="J4" s="56"/>
      <c r="K4" s="56"/>
      <c r="L4" s="56"/>
      <c r="M4" s="56"/>
      <c r="N4" s="56"/>
      <c r="O4" s="56"/>
      <c r="P4" s="56"/>
      <c r="Q4" s="56"/>
      <c r="R4" s="56"/>
      <c r="S4" s="56"/>
      <c r="T4" s="56"/>
      <c r="U4" s="56"/>
    </row>
    <row r="5" spans="1:21" ht="65" x14ac:dyDescent="0.35">
      <c r="A5" s="76" t="s">
        <v>78</v>
      </c>
      <c r="B5" s="34" t="s">
        <v>53</v>
      </c>
      <c r="C5" s="39" t="s">
        <v>86</v>
      </c>
      <c r="D5" s="32" t="s">
        <v>490</v>
      </c>
      <c r="E5" s="56"/>
      <c r="F5" s="56"/>
      <c r="G5" s="56"/>
      <c r="H5" s="56"/>
      <c r="I5" s="56"/>
      <c r="J5" s="56"/>
      <c r="K5" s="56"/>
      <c r="L5" s="56"/>
      <c r="M5" s="56"/>
      <c r="N5" s="56"/>
      <c r="O5" s="56"/>
      <c r="P5" s="56"/>
      <c r="Q5" s="56"/>
      <c r="R5" s="56"/>
      <c r="S5" s="56"/>
      <c r="T5" s="56"/>
      <c r="U5" s="56"/>
    </row>
    <row r="6" spans="1:21" ht="65" x14ac:dyDescent="0.35">
      <c r="A6" s="76" t="s">
        <v>75</v>
      </c>
      <c r="B6" s="35" t="s">
        <v>54</v>
      </c>
      <c r="C6" s="39" t="s">
        <v>87</v>
      </c>
      <c r="D6" s="32" t="s">
        <v>91</v>
      </c>
      <c r="E6" s="56"/>
      <c r="F6" s="56"/>
      <c r="G6" s="56"/>
      <c r="H6" s="56"/>
      <c r="I6" s="56"/>
      <c r="J6" s="56"/>
      <c r="K6" s="56"/>
      <c r="L6" s="56"/>
      <c r="M6" s="56"/>
      <c r="N6" s="56"/>
      <c r="O6" s="56"/>
      <c r="P6" s="56"/>
      <c r="Q6" s="56"/>
      <c r="R6" s="56"/>
      <c r="S6" s="56"/>
      <c r="T6" s="56"/>
      <c r="U6" s="56"/>
    </row>
    <row r="7" spans="1:21" ht="65" x14ac:dyDescent="0.35">
      <c r="A7" s="76" t="s">
        <v>7</v>
      </c>
      <c r="B7" s="36" t="s">
        <v>55</v>
      </c>
      <c r="C7" s="39" t="s">
        <v>88</v>
      </c>
      <c r="D7" s="32" t="s">
        <v>492</v>
      </c>
      <c r="E7" s="56"/>
      <c r="F7" s="56"/>
      <c r="G7" s="56"/>
      <c r="H7" s="56"/>
      <c r="I7" s="56"/>
      <c r="J7" s="56"/>
      <c r="K7" s="56"/>
      <c r="L7" s="56"/>
      <c r="M7" s="56"/>
      <c r="N7" s="56"/>
      <c r="O7" s="56"/>
      <c r="P7" s="56"/>
      <c r="Q7" s="56"/>
      <c r="R7" s="56"/>
      <c r="S7" s="56"/>
      <c r="T7" s="56"/>
      <c r="U7" s="56"/>
    </row>
    <row r="8" spans="1:21" ht="65" x14ac:dyDescent="0.35">
      <c r="A8" s="76" t="s">
        <v>79</v>
      </c>
      <c r="B8" s="37" t="s">
        <v>56</v>
      </c>
      <c r="C8" s="39" t="s">
        <v>89</v>
      </c>
      <c r="D8" s="32" t="s">
        <v>109</v>
      </c>
      <c r="E8" s="56"/>
      <c r="F8" s="56"/>
      <c r="G8" s="56"/>
      <c r="H8" s="56"/>
      <c r="I8" s="56"/>
      <c r="J8" s="56"/>
      <c r="K8" s="56"/>
      <c r="L8" s="56"/>
      <c r="M8" s="56"/>
      <c r="N8" s="56"/>
      <c r="O8" s="56"/>
      <c r="P8" s="56"/>
      <c r="Q8" s="56"/>
      <c r="R8" s="56"/>
      <c r="S8" s="56"/>
      <c r="T8" s="56"/>
      <c r="U8" s="56"/>
    </row>
    <row r="9" spans="1:21" ht="20" x14ac:dyDescent="0.35">
      <c r="A9" s="76"/>
      <c r="B9" s="76"/>
      <c r="C9" s="78"/>
      <c r="D9" s="78"/>
      <c r="E9" s="56"/>
      <c r="F9" s="56"/>
      <c r="G9" s="56"/>
      <c r="H9" s="56"/>
      <c r="I9" s="56"/>
      <c r="J9" s="56"/>
      <c r="K9" s="56"/>
      <c r="L9" s="56"/>
      <c r="M9" s="56"/>
      <c r="N9" s="56"/>
      <c r="O9" s="56"/>
      <c r="P9" s="56"/>
      <c r="Q9" s="56"/>
      <c r="R9" s="56"/>
      <c r="S9" s="56"/>
      <c r="T9" s="56"/>
      <c r="U9" s="56"/>
    </row>
    <row r="10" spans="1:21" x14ac:dyDescent="0.35">
      <c r="A10" s="76"/>
      <c r="B10" s="79"/>
      <c r="C10" s="79"/>
      <c r="D10" s="79"/>
      <c r="E10" s="56"/>
      <c r="F10" s="56"/>
      <c r="G10" s="56"/>
      <c r="H10" s="56"/>
      <c r="I10" s="56"/>
      <c r="J10" s="56"/>
      <c r="K10" s="56"/>
      <c r="L10" s="56"/>
      <c r="M10" s="56"/>
      <c r="N10" s="56"/>
      <c r="O10" s="56"/>
      <c r="P10" s="56"/>
      <c r="Q10" s="56"/>
      <c r="R10" s="56"/>
      <c r="S10" s="56"/>
      <c r="T10" s="56"/>
      <c r="U10" s="56"/>
    </row>
    <row r="11" spans="1:21" x14ac:dyDescent="0.35">
      <c r="A11" s="76"/>
      <c r="B11" s="76" t="s">
        <v>84</v>
      </c>
      <c r="C11" s="76" t="s">
        <v>482</v>
      </c>
      <c r="D11" s="76" t="s">
        <v>483</v>
      </c>
      <c r="E11" s="56"/>
      <c r="F11" s="56"/>
      <c r="G11" s="56"/>
      <c r="H11" s="56"/>
      <c r="I11" s="56"/>
      <c r="J11" s="56"/>
      <c r="K11" s="56"/>
      <c r="L11" s="56"/>
      <c r="M11" s="56"/>
      <c r="N11" s="56"/>
      <c r="O11" s="56"/>
      <c r="P11" s="56"/>
      <c r="Q11" s="56"/>
      <c r="R11" s="56"/>
      <c r="S11" s="56"/>
      <c r="T11" s="56"/>
      <c r="U11" s="56"/>
    </row>
    <row r="12" spans="1:21" x14ac:dyDescent="0.35">
      <c r="A12" s="76"/>
      <c r="B12" s="76" t="s">
        <v>82</v>
      </c>
      <c r="C12" s="76" t="s">
        <v>484</v>
      </c>
      <c r="D12" s="76" t="s">
        <v>491</v>
      </c>
      <c r="E12" s="56"/>
      <c r="F12" s="56"/>
      <c r="G12" s="56"/>
      <c r="H12" s="56"/>
      <c r="I12" s="56"/>
      <c r="J12" s="56"/>
      <c r="K12" s="56"/>
      <c r="L12" s="56"/>
      <c r="M12" s="56"/>
      <c r="N12" s="56"/>
      <c r="O12" s="56"/>
      <c r="P12" s="56"/>
      <c r="Q12" s="56"/>
      <c r="R12" s="56"/>
      <c r="S12" s="56"/>
      <c r="T12" s="56"/>
      <c r="U12" s="56"/>
    </row>
    <row r="13" spans="1:21" x14ac:dyDescent="0.35">
      <c r="A13" s="76"/>
      <c r="B13" s="76"/>
      <c r="C13" s="76" t="s">
        <v>485</v>
      </c>
      <c r="D13" s="76" t="s">
        <v>486</v>
      </c>
      <c r="E13" s="56"/>
      <c r="F13" s="56"/>
      <c r="G13" s="56"/>
      <c r="H13" s="56"/>
      <c r="I13" s="56"/>
      <c r="J13" s="56"/>
      <c r="K13" s="56"/>
      <c r="L13" s="56"/>
      <c r="M13" s="56"/>
      <c r="N13" s="56"/>
      <c r="O13" s="56"/>
      <c r="P13" s="56"/>
      <c r="Q13" s="56"/>
      <c r="R13" s="56"/>
      <c r="S13" s="56"/>
      <c r="T13" s="56"/>
      <c r="U13" s="56"/>
    </row>
    <row r="14" spans="1:21" x14ac:dyDescent="0.35">
      <c r="A14" s="76"/>
      <c r="B14" s="76"/>
      <c r="C14" s="76" t="s">
        <v>487</v>
      </c>
      <c r="D14" s="76" t="s">
        <v>493</v>
      </c>
      <c r="E14" s="56"/>
      <c r="F14" s="56"/>
      <c r="G14" s="56"/>
      <c r="H14" s="56"/>
      <c r="I14" s="56"/>
      <c r="J14" s="56"/>
      <c r="K14" s="56"/>
      <c r="L14" s="56"/>
      <c r="M14" s="56"/>
      <c r="N14" s="56"/>
      <c r="O14" s="56"/>
      <c r="P14" s="56"/>
      <c r="Q14" s="56"/>
      <c r="R14" s="56"/>
      <c r="S14" s="56"/>
      <c r="T14" s="56"/>
      <c r="U14" s="56"/>
    </row>
    <row r="15" spans="1:21" x14ac:dyDescent="0.35">
      <c r="A15" s="76"/>
      <c r="B15" s="76"/>
      <c r="C15" s="76" t="s">
        <v>488</v>
      </c>
      <c r="D15" s="76" t="s">
        <v>489</v>
      </c>
      <c r="E15" s="56"/>
      <c r="F15" s="56"/>
      <c r="G15" s="56"/>
      <c r="H15" s="56"/>
      <c r="I15" s="56"/>
      <c r="J15" s="56"/>
      <c r="K15" s="56"/>
      <c r="L15" s="56"/>
      <c r="M15" s="56"/>
      <c r="N15" s="56"/>
      <c r="O15" s="56"/>
      <c r="P15" s="56"/>
      <c r="Q15" s="56"/>
      <c r="R15" s="56"/>
      <c r="S15" s="56"/>
      <c r="T15" s="56"/>
      <c r="U15" s="56"/>
    </row>
    <row r="16" spans="1:21" x14ac:dyDescent="0.35">
      <c r="A16" s="76"/>
      <c r="B16" s="76"/>
      <c r="C16" s="76"/>
      <c r="D16" s="76"/>
      <c r="E16" s="56"/>
      <c r="F16" s="56"/>
      <c r="G16" s="56"/>
      <c r="H16" s="56"/>
      <c r="I16" s="56"/>
      <c r="J16" s="56"/>
      <c r="K16" s="56"/>
      <c r="L16" s="56"/>
      <c r="M16" s="56"/>
      <c r="N16" s="56"/>
      <c r="O16" s="56"/>
    </row>
    <row r="17" spans="1:15" x14ac:dyDescent="0.35">
      <c r="A17" s="76"/>
      <c r="B17" s="76"/>
      <c r="C17" s="76"/>
      <c r="D17" s="76"/>
      <c r="E17" s="56"/>
      <c r="F17" s="56"/>
      <c r="G17" s="56"/>
      <c r="H17" s="56"/>
      <c r="I17" s="56"/>
      <c r="J17" s="56"/>
      <c r="K17" s="56"/>
      <c r="L17" s="56"/>
      <c r="M17" s="56"/>
      <c r="N17" s="56"/>
      <c r="O17" s="56"/>
    </row>
    <row r="18" spans="1:15" x14ac:dyDescent="0.35">
      <c r="A18" s="76"/>
      <c r="B18" s="80"/>
      <c r="C18" s="80"/>
      <c r="D18" s="80"/>
      <c r="E18" s="56"/>
      <c r="F18" s="56"/>
      <c r="G18" s="56"/>
      <c r="H18" s="56"/>
      <c r="I18" s="56"/>
      <c r="J18" s="56"/>
      <c r="K18" s="56"/>
      <c r="L18" s="56"/>
      <c r="M18" s="56"/>
      <c r="N18" s="56"/>
      <c r="O18" s="56"/>
    </row>
    <row r="19" spans="1:15" x14ac:dyDescent="0.35">
      <c r="A19" s="76"/>
      <c r="B19" s="80"/>
      <c r="C19" s="80"/>
      <c r="D19" s="80"/>
      <c r="E19" s="56"/>
      <c r="F19" s="56"/>
      <c r="G19" s="56"/>
      <c r="H19" s="56"/>
      <c r="I19" s="56"/>
      <c r="J19" s="56"/>
      <c r="K19" s="56"/>
      <c r="L19" s="56"/>
      <c r="M19" s="56"/>
      <c r="N19" s="56"/>
      <c r="O19" s="56"/>
    </row>
    <row r="20" spans="1:15" x14ac:dyDescent="0.35">
      <c r="A20" s="76"/>
      <c r="B20" s="80"/>
      <c r="C20" s="80"/>
      <c r="D20" s="80"/>
      <c r="E20" s="56"/>
      <c r="F20" s="56"/>
      <c r="G20" s="56"/>
      <c r="H20" s="56"/>
      <c r="I20" s="56"/>
      <c r="J20" s="56"/>
      <c r="K20" s="56"/>
      <c r="L20" s="56"/>
      <c r="M20" s="56"/>
      <c r="N20" s="56"/>
      <c r="O20" s="56"/>
    </row>
    <row r="21" spans="1:15" x14ac:dyDescent="0.35">
      <c r="A21" s="76"/>
      <c r="B21" s="80"/>
      <c r="C21" s="80"/>
      <c r="D21" s="80"/>
      <c r="E21" s="56"/>
      <c r="F21" s="56"/>
      <c r="G21" s="56"/>
      <c r="H21" s="56"/>
      <c r="I21" s="56"/>
      <c r="J21" s="56"/>
      <c r="K21" s="56"/>
      <c r="L21" s="56"/>
      <c r="M21" s="56"/>
      <c r="N21" s="56"/>
      <c r="O21" s="56"/>
    </row>
    <row r="22" spans="1:15" ht="20" x14ac:dyDescent="0.35">
      <c r="A22" s="76"/>
      <c r="B22" s="76"/>
      <c r="C22" s="78"/>
      <c r="D22" s="78"/>
      <c r="E22" s="56"/>
      <c r="F22" s="56"/>
      <c r="G22" s="56"/>
      <c r="H22" s="56"/>
      <c r="I22" s="56"/>
      <c r="J22" s="56"/>
      <c r="K22" s="56"/>
      <c r="L22" s="56"/>
      <c r="M22" s="56"/>
      <c r="N22" s="56"/>
      <c r="O22" s="56"/>
    </row>
    <row r="23" spans="1:15" ht="20" x14ac:dyDescent="0.35">
      <c r="A23" s="76"/>
      <c r="B23" s="76"/>
      <c r="C23" s="78"/>
      <c r="D23" s="78"/>
      <c r="E23" s="56"/>
      <c r="F23" s="56"/>
      <c r="G23" s="56"/>
      <c r="H23" s="56"/>
      <c r="I23" s="56"/>
      <c r="J23" s="56"/>
      <c r="K23" s="56"/>
      <c r="L23" s="56"/>
      <c r="M23" s="56"/>
      <c r="N23" s="56"/>
      <c r="O23" s="56"/>
    </row>
    <row r="24" spans="1:15" ht="20" x14ac:dyDescent="0.35">
      <c r="A24" s="76"/>
      <c r="B24" s="76"/>
      <c r="C24" s="78"/>
      <c r="D24" s="78"/>
      <c r="E24" s="56"/>
      <c r="F24" s="56"/>
      <c r="G24" s="56"/>
      <c r="H24" s="56"/>
      <c r="I24" s="56"/>
      <c r="J24" s="56"/>
      <c r="K24" s="56"/>
      <c r="L24" s="56"/>
      <c r="M24" s="56"/>
      <c r="N24" s="56"/>
      <c r="O24" s="56"/>
    </row>
    <row r="25" spans="1:15" ht="20" x14ac:dyDescent="0.35">
      <c r="A25" s="76"/>
      <c r="B25" s="76"/>
      <c r="C25" s="78"/>
      <c r="D25" s="78"/>
      <c r="E25" s="56"/>
      <c r="F25" s="56"/>
      <c r="G25" s="56"/>
      <c r="H25" s="56"/>
      <c r="I25" s="56"/>
      <c r="J25" s="56"/>
      <c r="K25" s="56"/>
      <c r="L25" s="56"/>
      <c r="M25" s="56"/>
      <c r="N25" s="56"/>
      <c r="O25" s="56"/>
    </row>
    <row r="26" spans="1:15" ht="20" x14ac:dyDescent="0.35">
      <c r="A26" s="76"/>
      <c r="B26" s="76"/>
      <c r="C26" s="78"/>
      <c r="D26" s="78"/>
      <c r="E26" s="56"/>
      <c r="F26" s="56"/>
      <c r="G26" s="56"/>
      <c r="H26" s="56"/>
      <c r="I26" s="56"/>
      <c r="J26" s="56"/>
      <c r="K26" s="56"/>
      <c r="L26" s="56"/>
      <c r="M26" s="56"/>
      <c r="N26" s="56"/>
      <c r="O26" s="56"/>
    </row>
    <row r="27" spans="1:15" ht="20" x14ac:dyDescent="0.35">
      <c r="A27" s="76"/>
      <c r="B27" s="76"/>
      <c r="C27" s="78"/>
      <c r="D27" s="78"/>
      <c r="E27" s="56"/>
      <c r="F27" s="56"/>
      <c r="G27" s="56"/>
      <c r="H27" s="56"/>
      <c r="I27" s="56"/>
      <c r="J27" s="56"/>
      <c r="K27" s="56"/>
      <c r="L27" s="56"/>
      <c r="M27" s="56"/>
      <c r="N27" s="56"/>
      <c r="O27" s="56"/>
    </row>
    <row r="28" spans="1:15" ht="20" x14ac:dyDescent="0.35">
      <c r="A28" s="76"/>
      <c r="B28" s="76"/>
      <c r="C28" s="78"/>
      <c r="D28" s="78"/>
      <c r="E28" s="56"/>
      <c r="F28" s="56"/>
      <c r="G28" s="56"/>
      <c r="H28" s="56"/>
      <c r="I28" s="56"/>
      <c r="J28" s="56"/>
      <c r="K28" s="56"/>
      <c r="L28" s="56"/>
      <c r="M28" s="56"/>
      <c r="N28" s="56"/>
      <c r="O28" s="56"/>
    </row>
    <row r="29" spans="1:15" ht="20" x14ac:dyDescent="0.35">
      <c r="A29" s="76"/>
      <c r="B29" s="76"/>
      <c r="C29" s="78"/>
      <c r="D29" s="78"/>
      <c r="E29" s="56"/>
      <c r="F29" s="56"/>
      <c r="G29" s="56"/>
      <c r="H29" s="56"/>
      <c r="I29" s="56"/>
      <c r="J29" s="56"/>
      <c r="K29" s="56"/>
      <c r="L29" s="56"/>
      <c r="M29" s="56"/>
      <c r="N29" s="56"/>
      <c r="O29" s="56"/>
    </row>
    <row r="30" spans="1:15" ht="20" x14ac:dyDescent="0.35">
      <c r="A30" s="76"/>
      <c r="B30" s="76"/>
      <c r="C30" s="78"/>
      <c r="D30" s="78"/>
      <c r="E30" s="56"/>
      <c r="F30" s="56"/>
      <c r="G30" s="56"/>
      <c r="H30" s="56"/>
      <c r="I30" s="56"/>
      <c r="J30" s="56"/>
      <c r="K30" s="56"/>
      <c r="L30" s="56"/>
      <c r="M30" s="56"/>
      <c r="N30" s="56"/>
      <c r="O30" s="56"/>
    </row>
    <row r="31" spans="1:15" ht="20" x14ac:dyDescent="0.35">
      <c r="A31" s="76"/>
      <c r="B31" s="76"/>
      <c r="C31" s="78"/>
      <c r="D31" s="78"/>
      <c r="E31" s="56"/>
      <c r="F31" s="56"/>
      <c r="G31" s="56"/>
      <c r="H31" s="56"/>
      <c r="I31" s="56"/>
      <c r="J31" s="56"/>
      <c r="K31" s="56"/>
      <c r="L31" s="56"/>
      <c r="M31" s="56"/>
      <c r="N31" s="56"/>
      <c r="O31" s="56"/>
    </row>
    <row r="32" spans="1:15" ht="20" x14ac:dyDescent="0.35">
      <c r="A32" s="76"/>
      <c r="B32" s="76"/>
      <c r="C32" s="78"/>
      <c r="D32" s="78"/>
      <c r="E32" s="56"/>
      <c r="F32" s="56"/>
      <c r="G32" s="56"/>
      <c r="H32" s="56"/>
      <c r="I32" s="56"/>
      <c r="J32" s="56"/>
      <c r="K32" s="56"/>
      <c r="L32" s="56"/>
      <c r="M32" s="56"/>
      <c r="N32" s="56"/>
      <c r="O32" s="56"/>
    </row>
    <row r="33" spans="1:15" ht="20" x14ac:dyDescent="0.35">
      <c r="A33" s="76"/>
      <c r="B33" s="76"/>
      <c r="C33" s="78"/>
      <c r="D33" s="78"/>
      <c r="E33" s="56"/>
      <c r="F33" s="56"/>
      <c r="G33" s="56"/>
      <c r="H33" s="56"/>
      <c r="I33" s="56"/>
      <c r="J33" s="56"/>
      <c r="K33" s="56"/>
      <c r="L33" s="56"/>
      <c r="M33" s="56"/>
      <c r="N33" s="56"/>
      <c r="O33" s="56"/>
    </row>
    <row r="34" spans="1:15" ht="20" x14ac:dyDescent="0.35">
      <c r="A34" s="76"/>
      <c r="B34" s="76"/>
      <c r="C34" s="78"/>
      <c r="D34" s="78"/>
      <c r="E34" s="56"/>
      <c r="F34" s="56"/>
      <c r="G34" s="56"/>
      <c r="H34" s="56"/>
      <c r="I34" s="56"/>
      <c r="J34" s="56"/>
      <c r="K34" s="56"/>
      <c r="L34" s="56"/>
      <c r="M34" s="56"/>
      <c r="N34" s="56"/>
      <c r="O34" s="56"/>
    </row>
    <row r="35" spans="1:15" ht="20" x14ac:dyDescent="0.35">
      <c r="A35" s="76"/>
      <c r="B35" s="76"/>
      <c r="C35" s="78"/>
      <c r="D35" s="78"/>
      <c r="E35" s="56"/>
      <c r="F35" s="56"/>
      <c r="G35" s="56"/>
      <c r="H35" s="56"/>
      <c r="I35" s="56"/>
      <c r="J35" s="56"/>
      <c r="K35" s="56"/>
      <c r="L35" s="56"/>
      <c r="M35" s="56"/>
      <c r="N35" s="56"/>
      <c r="O35" s="56"/>
    </row>
    <row r="36" spans="1:15" ht="20" x14ac:dyDescent="0.35">
      <c r="A36" s="76"/>
      <c r="B36" s="76"/>
      <c r="C36" s="78"/>
      <c r="D36" s="78"/>
      <c r="E36" s="56"/>
      <c r="F36" s="56"/>
      <c r="G36" s="56"/>
      <c r="H36" s="56"/>
      <c r="I36" s="56"/>
      <c r="J36" s="56"/>
      <c r="K36" s="56"/>
      <c r="L36" s="56"/>
      <c r="M36" s="56"/>
      <c r="N36" s="56"/>
      <c r="O36" s="56"/>
    </row>
    <row r="37" spans="1:15" ht="20" x14ac:dyDescent="0.35">
      <c r="A37" s="76"/>
      <c r="B37" s="76"/>
      <c r="C37" s="78"/>
      <c r="D37" s="78"/>
      <c r="E37" s="56"/>
      <c r="F37" s="56"/>
      <c r="G37" s="56"/>
      <c r="H37" s="56"/>
      <c r="I37" s="56"/>
      <c r="J37" s="56"/>
      <c r="K37" s="56"/>
      <c r="L37" s="56"/>
      <c r="M37" s="56"/>
      <c r="N37" s="56"/>
      <c r="O37" s="56"/>
    </row>
    <row r="38" spans="1:15" ht="20" x14ac:dyDescent="0.35">
      <c r="A38" s="76"/>
      <c r="B38" s="76"/>
      <c r="C38" s="78"/>
      <c r="D38" s="78"/>
      <c r="E38" s="56"/>
      <c r="F38" s="56"/>
      <c r="G38" s="56"/>
      <c r="H38" s="56"/>
      <c r="I38" s="56"/>
      <c r="J38" s="56"/>
      <c r="K38" s="56"/>
      <c r="L38" s="56"/>
      <c r="M38" s="56"/>
      <c r="N38" s="56"/>
      <c r="O38" s="56"/>
    </row>
    <row r="39" spans="1:15" ht="20" x14ac:dyDescent="0.35">
      <c r="A39" s="76"/>
      <c r="B39" s="76"/>
      <c r="C39" s="78"/>
      <c r="D39" s="78"/>
      <c r="E39" s="56"/>
      <c r="F39" s="56"/>
      <c r="G39" s="56"/>
      <c r="H39" s="56"/>
      <c r="I39" s="56"/>
      <c r="J39" s="56"/>
      <c r="K39" s="56"/>
      <c r="L39" s="56"/>
      <c r="M39" s="56"/>
      <c r="N39" s="56"/>
      <c r="O39" s="56"/>
    </row>
    <row r="40" spans="1:15" ht="20" x14ac:dyDescent="0.35">
      <c r="A40" s="76"/>
      <c r="B40" s="76"/>
      <c r="C40" s="78"/>
      <c r="D40" s="78"/>
      <c r="E40" s="56"/>
      <c r="F40" s="56"/>
      <c r="G40" s="56"/>
      <c r="H40" s="56"/>
      <c r="I40" s="56"/>
      <c r="J40" s="56"/>
      <c r="K40" s="56"/>
      <c r="L40" s="56"/>
      <c r="M40" s="56"/>
      <c r="N40" s="56"/>
      <c r="O40" s="56"/>
    </row>
    <row r="41" spans="1:15" ht="20" x14ac:dyDescent="0.35">
      <c r="A41" s="76"/>
      <c r="B41" s="76"/>
      <c r="C41" s="78"/>
      <c r="D41" s="78"/>
      <c r="E41" s="56"/>
      <c r="F41" s="56"/>
      <c r="G41" s="56"/>
      <c r="H41" s="56"/>
      <c r="I41" s="56"/>
      <c r="J41" s="56"/>
      <c r="K41" s="56"/>
      <c r="L41" s="56"/>
      <c r="M41" s="56"/>
      <c r="N41" s="56"/>
      <c r="O41" s="56"/>
    </row>
    <row r="42" spans="1:15" ht="20" x14ac:dyDescent="0.35">
      <c r="A42" s="76"/>
      <c r="B42" s="76"/>
      <c r="C42" s="78"/>
      <c r="D42" s="78"/>
      <c r="E42" s="56"/>
      <c r="F42" s="56"/>
      <c r="G42" s="56"/>
      <c r="H42" s="56"/>
      <c r="I42" s="56"/>
      <c r="J42" s="56"/>
      <c r="K42" s="56"/>
      <c r="L42" s="56"/>
      <c r="M42" s="56"/>
      <c r="N42" s="56"/>
      <c r="O42" s="56"/>
    </row>
    <row r="43" spans="1:15" ht="20" x14ac:dyDescent="0.35">
      <c r="A43" s="76"/>
      <c r="B43" s="76"/>
      <c r="C43" s="78"/>
      <c r="D43" s="78"/>
      <c r="E43" s="56"/>
      <c r="F43" s="56"/>
      <c r="G43" s="56"/>
      <c r="H43" s="56"/>
      <c r="I43" s="56"/>
      <c r="J43" s="56"/>
      <c r="K43" s="56"/>
      <c r="L43" s="56"/>
      <c r="M43" s="56"/>
      <c r="N43" s="56"/>
      <c r="O43" s="56"/>
    </row>
    <row r="44" spans="1:15" ht="20" x14ac:dyDescent="0.35">
      <c r="A44" s="76"/>
      <c r="B44" s="76"/>
      <c r="C44" s="78"/>
      <c r="D44" s="78"/>
      <c r="E44" s="56"/>
      <c r="F44" s="56"/>
      <c r="G44" s="56"/>
      <c r="H44" s="56"/>
      <c r="I44" s="56"/>
      <c r="J44" s="56"/>
      <c r="K44" s="56"/>
      <c r="L44" s="56"/>
      <c r="M44" s="56"/>
      <c r="N44" s="56"/>
      <c r="O44" s="56"/>
    </row>
    <row r="45" spans="1:15" ht="20" x14ac:dyDescent="0.35">
      <c r="A45" s="76"/>
      <c r="B45" s="76"/>
      <c r="C45" s="78"/>
      <c r="D45" s="78"/>
      <c r="E45" s="56"/>
      <c r="F45" s="56"/>
      <c r="G45" s="56"/>
      <c r="H45" s="56"/>
      <c r="I45" s="56"/>
      <c r="J45" s="56"/>
      <c r="K45" s="56"/>
      <c r="L45" s="56"/>
      <c r="M45" s="56"/>
      <c r="N45" s="56"/>
      <c r="O45" s="56"/>
    </row>
    <row r="46" spans="1:15" ht="20" x14ac:dyDescent="0.35">
      <c r="A46" s="76"/>
      <c r="B46" s="76"/>
      <c r="C46" s="78"/>
      <c r="D46" s="78"/>
      <c r="E46" s="56"/>
      <c r="F46" s="56"/>
      <c r="G46" s="56"/>
      <c r="H46" s="56"/>
      <c r="I46" s="56"/>
      <c r="J46" s="56"/>
      <c r="K46" s="56"/>
      <c r="L46" s="56"/>
      <c r="M46" s="56"/>
      <c r="N46" s="56"/>
      <c r="O46" s="56"/>
    </row>
    <row r="47" spans="1:15" ht="20" x14ac:dyDescent="0.35">
      <c r="A47" s="76"/>
      <c r="B47" s="76"/>
      <c r="C47" s="78"/>
      <c r="D47" s="78"/>
      <c r="E47" s="56"/>
      <c r="F47" s="56"/>
      <c r="G47" s="56"/>
      <c r="H47" s="56"/>
      <c r="I47" s="56"/>
      <c r="J47" s="56"/>
      <c r="K47" s="56"/>
      <c r="L47" s="56"/>
      <c r="M47" s="56"/>
      <c r="N47" s="56"/>
      <c r="O47" s="56"/>
    </row>
    <row r="48" spans="1:15" ht="20" x14ac:dyDescent="0.35">
      <c r="A48" s="76"/>
      <c r="B48" s="76"/>
      <c r="C48" s="78"/>
      <c r="D48" s="78"/>
      <c r="E48" s="56"/>
      <c r="F48" s="56"/>
      <c r="G48" s="56"/>
      <c r="H48" s="56"/>
      <c r="I48" s="56"/>
      <c r="J48" s="56"/>
      <c r="K48" s="56"/>
      <c r="L48" s="56"/>
      <c r="M48" s="56"/>
      <c r="N48" s="56"/>
      <c r="O48" s="56"/>
    </row>
    <row r="49" spans="1:15" ht="20" x14ac:dyDescent="0.35">
      <c r="A49" s="76"/>
      <c r="B49" s="76"/>
      <c r="C49" s="78"/>
      <c r="D49" s="78"/>
      <c r="E49" s="56"/>
      <c r="F49" s="56"/>
      <c r="G49" s="56"/>
      <c r="H49" s="56"/>
      <c r="I49" s="56"/>
      <c r="J49" s="56"/>
      <c r="K49" s="56"/>
      <c r="L49" s="56"/>
      <c r="M49" s="56"/>
      <c r="N49" s="56"/>
      <c r="O49" s="56"/>
    </row>
    <row r="50" spans="1:15" ht="20" x14ac:dyDescent="0.35">
      <c r="A50" s="76"/>
      <c r="B50" s="76"/>
      <c r="C50" s="78"/>
      <c r="D50" s="78"/>
      <c r="E50" s="56"/>
      <c r="F50" s="56"/>
      <c r="G50" s="56"/>
      <c r="H50" s="56"/>
      <c r="I50" s="56"/>
      <c r="J50" s="56"/>
      <c r="K50" s="56"/>
      <c r="L50" s="56"/>
      <c r="M50" s="56"/>
      <c r="N50" s="56"/>
      <c r="O50" s="56"/>
    </row>
    <row r="51" spans="1:15" ht="20" x14ac:dyDescent="0.35">
      <c r="A51" s="76"/>
      <c r="B51" s="76"/>
      <c r="C51" s="78"/>
      <c r="D51" s="78"/>
      <c r="E51" s="56"/>
      <c r="F51" s="56"/>
      <c r="G51" s="56"/>
      <c r="H51" s="56"/>
      <c r="I51" s="56"/>
      <c r="J51" s="56"/>
      <c r="K51" s="56"/>
      <c r="L51" s="56"/>
      <c r="M51" s="56"/>
      <c r="N51" s="56"/>
      <c r="O51" s="56"/>
    </row>
    <row r="52" spans="1:15" ht="20" x14ac:dyDescent="0.35">
      <c r="A52" s="76"/>
      <c r="B52" s="19"/>
      <c r="C52" s="28"/>
      <c r="D52" s="28"/>
    </row>
    <row r="53" spans="1:15" ht="20" x14ac:dyDescent="0.35">
      <c r="A53" s="76"/>
      <c r="B53" s="19"/>
      <c r="C53" s="28"/>
      <c r="D53" s="28"/>
    </row>
    <row r="54" spans="1:15" ht="20" x14ac:dyDescent="0.35">
      <c r="A54" s="76"/>
      <c r="B54" s="19"/>
      <c r="C54" s="28"/>
      <c r="D54" s="28"/>
    </row>
    <row r="55" spans="1:15" ht="20" x14ac:dyDescent="0.35">
      <c r="A55" s="76"/>
      <c r="B55" s="19"/>
      <c r="C55" s="28"/>
      <c r="D55" s="28"/>
    </row>
    <row r="56" spans="1:15" ht="20" x14ac:dyDescent="0.35">
      <c r="A56" s="76"/>
      <c r="B56" s="19"/>
      <c r="C56" s="28"/>
      <c r="D56" s="28"/>
    </row>
    <row r="57" spans="1:15" ht="20" x14ac:dyDescent="0.35">
      <c r="A57" s="76"/>
      <c r="B57" s="19"/>
      <c r="C57" s="28"/>
      <c r="D57" s="28"/>
    </row>
    <row r="58" spans="1:15" ht="20" x14ac:dyDescent="0.35">
      <c r="A58" s="76"/>
      <c r="B58" s="19"/>
      <c r="C58" s="28"/>
      <c r="D58" s="28"/>
    </row>
    <row r="59" spans="1:15" ht="20" x14ac:dyDescent="0.35">
      <c r="A59" s="76"/>
      <c r="B59" s="19"/>
      <c r="C59" s="28"/>
      <c r="D59" s="28"/>
    </row>
    <row r="60" spans="1:15" ht="20" x14ac:dyDescent="0.35">
      <c r="A60" s="76"/>
      <c r="B60" s="19"/>
      <c r="C60" s="28"/>
      <c r="D60" s="28"/>
    </row>
    <row r="61" spans="1:15" ht="20" x14ac:dyDescent="0.35">
      <c r="A61" s="76"/>
      <c r="B61" s="19"/>
      <c r="C61" s="28"/>
      <c r="D61" s="28"/>
    </row>
    <row r="62" spans="1:15" ht="20" x14ac:dyDescent="0.35">
      <c r="A62" s="76"/>
      <c r="B62" s="19"/>
      <c r="C62" s="28"/>
      <c r="D62" s="28"/>
    </row>
    <row r="63" spans="1:15" ht="20" x14ac:dyDescent="0.35">
      <c r="A63" s="76"/>
      <c r="B63" s="19"/>
      <c r="C63" s="28"/>
      <c r="D63" s="28"/>
    </row>
    <row r="64" spans="1:15" ht="20" x14ac:dyDescent="0.35">
      <c r="A64" s="76"/>
      <c r="B64" s="19"/>
      <c r="C64" s="28"/>
      <c r="D64" s="28"/>
    </row>
    <row r="65" spans="1:4" ht="20" x14ac:dyDescent="0.35">
      <c r="A65" s="76"/>
      <c r="B65" s="19"/>
      <c r="C65" s="28"/>
      <c r="D65" s="28"/>
    </row>
    <row r="66" spans="1:4" ht="20" x14ac:dyDescent="0.35">
      <c r="A66" s="76"/>
      <c r="B66" s="19"/>
      <c r="C66" s="28"/>
      <c r="D66" s="28"/>
    </row>
    <row r="67" spans="1:4" ht="20" x14ac:dyDescent="0.35">
      <c r="A67" s="76"/>
      <c r="B67" s="19"/>
      <c r="C67" s="28"/>
      <c r="D67" s="28"/>
    </row>
    <row r="68" spans="1:4" ht="20" x14ac:dyDescent="0.35">
      <c r="A68" s="76"/>
      <c r="B68" s="19"/>
      <c r="C68" s="28"/>
      <c r="D68" s="28"/>
    </row>
    <row r="69" spans="1:4" ht="20" x14ac:dyDescent="0.35">
      <c r="A69" s="76"/>
      <c r="B69" s="19"/>
      <c r="C69" s="28"/>
      <c r="D69" s="28"/>
    </row>
    <row r="70" spans="1:4" ht="20" x14ac:dyDescent="0.35">
      <c r="A70" s="76"/>
      <c r="B70" s="19"/>
      <c r="C70" s="28"/>
      <c r="D70" s="28"/>
    </row>
    <row r="71" spans="1:4" ht="20" x14ac:dyDescent="0.35">
      <c r="A71" s="76"/>
      <c r="B71" s="19"/>
      <c r="C71" s="28"/>
      <c r="D71" s="28"/>
    </row>
    <row r="72" spans="1:4" ht="20" x14ac:dyDescent="0.35">
      <c r="A72" s="76"/>
      <c r="B72" s="19"/>
      <c r="C72" s="28"/>
      <c r="D72" s="28"/>
    </row>
    <row r="73" spans="1:4" ht="20" x14ac:dyDescent="0.35">
      <c r="A73" s="76"/>
      <c r="B73" s="19"/>
      <c r="C73" s="28"/>
      <c r="D73" s="28"/>
    </row>
    <row r="74" spans="1:4" ht="20" x14ac:dyDescent="0.35">
      <c r="A74" s="76"/>
      <c r="B74" s="19"/>
      <c r="C74" s="28"/>
      <c r="D74" s="28"/>
    </row>
    <row r="75" spans="1:4" ht="20" x14ac:dyDescent="0.35">
      <c r="A75" s="76"/>
      <c r="B75" s="19"/>
      <c r="C75" s="28"/>
      <c r="D75" s="28"/>
    </row>
    <row r="76" spans="1:4" ht="20" x14ac:dyDescent="0.35">
      <c r="A76" s="76"/>
      <c r="B76" s="19"/>
      <c r="C76" s="28"/>
      <c r="D76" s="28"/>
    </row>
    <row r="77" spans="1:4" ht="20" x14ac:dyDescent="0.35">
      <c r="A77" s="76"/>
      <c r="B77" s="19"/>
      <c r="C77" s="28"/>
      <c r="D77" s="28"/>
    </row>
    <row r="78" spans="1:4" ht="20" x14ac:dyDescent="0.35">
      <c r="A78" s="76"/>
      <c r="B78" s="19"/>
      <c r="C78" s="28"/>
      <c r="D78" s="28"/>
    </row>
    <row r="79" spans="1:4" ht="20" x14ac:dyDescent="0.35">
      <c r="A79" s="76"/>
      <c r="B79" s="19"/>
      <c r="C79" s="28"/>
      <c r="D79" s="28"/>
    </row>
    <row r="80" spans="1:4" ht="20" x14ac:dyDescent="0.35">
      <c r="A80" s="76"/>
      <c r="B80" s="19"/>
      <c r="C80" s="28"/>
      <c r="D80" s="28"/>
    </row>
    <row r="81" spans="1:4" ht="20" x14ac:dyDescent="0.35">
      <c r="A81" s="76"/>
      <c r="B81" s="19"/>
      <c r="C81" s="28"/>
      <c r="D81" s="28"/>
    </row>
    <row r="82" spans="1:4" ht="20" x14ac:dyDescent="0.35">
      <c r="A82" s="76"/>
      <c r="B82" s="19"/>
      <c r="C82" s="28"/>
      <c r="D82" s="28"/>
    </row>
    <row r="83" spans="1:4" ht="20" x14ac:dyDescent="0.35">
      <c r="A83" s="76"/>
      <c r="B83" s="19"/>
      <c r="C83" s="28"/>
      <c r="D83" s="28"/>
    </row>
    <row r="84" spans="1:4" ht="20" x14ac:dyDescent="0.35">
      <c r="A84" s="76"/>
      <c r="B84" s="19"/>
      <c r="C84" s="28"/>
      <c r="D84" s="28"/>
    </row>
    <row r="85" spans="1:4" ht="20" x14ac:dyDescent="0.35">
      <c r="A85" s="76"/>
      <c r="B85" s="19"/>
      <c r="C85" s="28"/>
      <c r="D85" s="28"/>
    </row>
    <row r="86" spans="1:4" ht="20" x14ac:dyDescent="0.35">
      <c r="A86" s="76"/>
      <c r="B86" s="19"/>
      <c r="C86" s="28"/>
      <c r="D86" s="28"/>
    </row>
    <row r="87" spans="1:4" ht="20" x14ac:dyDescent="0.35">
      <c r="A87" s="76"/>
      <c r="B87" s="19"/>
      <c r="C87" s="28"/>
      <c r="D87" s="28"/>
    </row>
    <row r="88" spans="1:4" ht="20" x14ac:dyDescent="0.35">
      <c r="A88" s="76"/>
      <c r="B88" s="19"/>
      <c r="C88" s="28"/>
      <c r="D88" s="28"/>
    </row>
    <row r="89" spans="1:4" ht="20" x14ac:dyDescent="0.35">
      <c r="A89" s="76"/>
      <c r="B89" s="19"/>
      <c r="C89" s="28"/>
      <c r="D89" s="28"/>
    </row>
    <row r="90" spans="1:4" ht="20" x14ac:dyDescent="0.35">
      <c r="A90" s="76"/>
      <c r="B90" s="19"/>
      <c r="C90" s="28"/>
      <c r="D90" s="28"/>
    </row>
    <row r="91" spans="1:4" ht="20" x14ac:dyDescent="0.35">
      <c r="A91" s="76"/>
      <c r="B91" s="19"/>
      <c r="C91" s="28"/>
      <c r="D91" s="28"/>
    </row>
    <row r="92" spans="1:4" ht="20" x14ac:dyDescent="0.35">
      <c r="A92" s="76"/>
      <c r="B92" s="19"/>
      <c r="C92" s="28"/>
      <c r="D92" s="28"/>
    </row>
    <row r="93" spans="1:4" ht="20" x14ac:dyDescent="0.35">
      <c r="A93" s="76"/>
      <c r="B93" s="19"/>
      <c r="C93" s="28"/>
      <c r="D93" s="28"/>
    </row>
    <row r="94" spans="1:4" ht="20" x14ac:dyDescent="0.35">
      <c r="A94" s="76"/>
      <c r="B94" s="19"/>
      <c r="C94" s="28"/>
      <c r="D94" s="28"/>
    </row>
    <row r="95" spans="1:4" ht="20" x14ac:dyDescent="0.35">
      <c r="A95" s="76"/>
      <c r="B95" s="19"/>
      <c r="C95" s="28"/>
      <c r="D95" s="28"/>
    </row>
    <row r="96" spans="1:4" ht="20" x14ac:dyDescent="0.35">
      <c r="A96" s="76"/>
      <c r="B96" s="19"/>
      <c r="C96" s="28"/>
      <c r="D96" s="28"/>
    </row>
    <row r="97" spans="1:4" ht="20" x14ac:dyDescent="0.35">
      <c r="A97" s="76"/>
      <c r="B97" s="19"/>
      <c r="C97" s="28"/>
      <c r="D97" s="28"/>
    </row>
    <row r="98" spans="1:4" ht="20" x14ac:dyDescent="0.35">
      <c r="A98" s="76"/>
      <c r="B98" s="19"/>
      <c r="C98" s="28"/>
      <c r="D98" s="28"/>
    </row>
    <row r="99" spans="1:4" ht="20" x14ac:dyDescent="0.35">
      <c r="A99" s="76"/>
      <c r="B99" s="19"/>
      <c r="C99" s="28"/>
      <c r="D99" s="28"/>
    </row>
    <row r="100" spans="1:4" ht="20" x14ac:dyDescent="0.35">
      <c r="A100" s="76"/>
      <c r="B100" s="19"/>
      <c r="C100" s="28"/>
      <c r="D100" s="28"/>
    </row>
    <row r="101" spans="1:4" ht="20" x14ac:dyDescent="0.35">
      <c r="A101" s="76"/>
      <c r="B101" s="19"/>
      <c r="C101" s="28"/>
      <c r="D101" s="28"/>
    </row>
    <row r="102" spans="1:4" ht="20" x14ac:dyDescent="0.35">
      <c r="A102" s="76"/>
      <c r="B102" s="19"/>
      <c r="C102" s="28"/>
      <c r="D102" s="28"/>
    </row>
    <row r="103" spans="1:4" ht="20" x14ac:dyDescent="0.35">
      <c r="A103" s="76"/>
      <c r="B103" s="19"/>
      <c r="C103" s="28"/>
      <c r="D103" s="28"/>
    </row>
    <row r="104" spans="1:4" ht="20" x14ac:dyDescent="0.35">
      <c r="A104" s="76"/>
      <c r="B104" s="19"/>
      <c r="C104" s="28"/>
      <c r="D104" s="28"/>
    </row>
    <row r="105" spans="1:4" ht="20" x14ac:dyDescent="0.35">
      <c r="A105" s="76"/>
      <c r="B105" s="19"/>
      <c r="C105" s="28"/>
      <c r="D105" s="28"/>
    </row>
    <row r="106" spans="1:4" ht="20" x14ac:dyDescent="0.35">
      <c r="A106" s="76"/>
      <c r="B106" s="19"/>
      <c r="C106" s="28"/>
      <c r="D106" s="28"/>
    </row>
    <row r="107" spans="1:4" ht="20" x14ac:dyDescent="0.35">
      <c r="A107" s="76"/>
      <c r="B107" s="19"/>
      <c r="C107" s="28"/>
      <c r="D107" s="28"/>
    </row>
    <row r="108" spans="1:4" ht="20" x14ac:dyDescent="0.35">
      <c r="A108" s="76"/>
      <c r="B108" s="19"/>
      <c r="C108" s="28"/>
      <c r="D108" s="28"/>
    </row>
    <row r="109" spans="1:4" ht="20" x14ac:dyDescent="0.35">
      <c r="A109" s="76"/>
      <c r="B109" s="19"/>
      <c r="C109" s="28"/>
      <c r="D109" s="28"/>
    </row>
    <row r="110" spans="1:4" ht="20" x14ac:dyDescent="0.35">
      <c r="A110" s="76"/>
      <c r="B110" s="19"/>
      <c r="C110" s="28"/>
      <c r="D110" s="28"/>
    </row>
    <row r="111" spans="1:4" ht="20" x14ac:dyDescent="0.35">
      <c r="A111" s="76"/>
      <c r="B111" s="19"/>
      <c r="C111" s="28"/>
      <c r="D111" s="28"/>
    </row>
    <row r="112" spans="1:4" ht="20" x14ac:dyDescent="0.35">
      <c r="A112" s="76"/>
      <c r="B112" s="19"/>
      <c r="C112" s="28"/>
      <c r="D112" s="28"/>
    </row>
    <row r="113" spans="1:4" ht="20" x14ac:dyDescent="0.35">
      <c r="A113" s="76"/>
      <c r="B113" s="19"/>
      <c r="C113" s="28"/>
      <c r="D113" s="28"/>
    </row>
    <row r="114" spans="1:4" ht="20" x14ac:dyDescent="0.35">
      <c r="A114" s="76"/>
      <c r="B114" s="19"/>
      <c r="C114" s="28"/>
      <c r="D114" s="28"/>
    </row>
    <row r="115" spans="1:4" ht="20" x14ac:dyDescent="0.35">
      <c r="A115" s="76"/>
      <c r="B115" s="19"/>
      <c r="C115" s="28"/>
      <c r="D115" s="28"/>
    </row>
    <row r="116" spans="1:4" ht="20" x14ac:dyDescent="0.35">
      <c r="A116" s="76"/>
      <c r="B116" s="19"/>
      <c r="C116" s="28"/>
      <c r="D116" s="28"/>
    </row>
    <row r="117" spans="1:4" ht="20" x14ac:dyDescent="0.35">
      <c r="A117" s="76"/>
      <c r="B117" s="19"/>
      <c r="C117" s="28"/>
      <c r="D117" s="28"/>
    </row>
    <row r="118" spans="1:4" ht="20" x14ac:dyDescent="0.35">
      <c r="A118" s="76"/>
      <c r="B118" s="19"/>
      <c r="C118" s="28"/>
      <c r="D118" s="28"/>
    </row>
    <row r="119" spans="1:4" ht="20" x14ac:dyDescent="0.35">
      <c r="A119" s="76"/>
      <c r="B119" s="19"/>
      <c r="C119" s="28"/>
      <c r="D119" s="28"/>
    </row>
    <row r="120" spans="1:4" ht="20" x14ac:dyDescent="0.35">
      <c r="A120" s="76"/>
      <c r="B120" s="19"/>
      <c r="C120" s="28"/>
      <c r="D120" s="28"/>
    </row>
    <row r="121" spans="1:4" ht="20" x14ac:dyDescent="0.35">
      <c r="A121" s="76"/>
      <c r="B121" s="19"/>
      <c r="C121" s="28"/>
      <c r="D121" s="28"/>
    </row>
    <row r="122" spans="1:4" ht="20" x14ac:dyDescent="0.35">
      <c r="A122" s="76"/>
      <c r="B122" s="19"/>
      <c r="C122" s="28"/>
      <c r="D122" s="28"/>
    </row>
    <row r="123" spans="1:4" ht="20" x14ac:dyDescent="0.35">
      <c r="A123" s="76"/>
      <c r="B123" s="19"/>
      <c r="C123" s="28"/>
      <c r="D123" s="28"/>
    </row>
    <row r="124" spans="1:4" ht="20" x14ac:dyDescent="0.35">
      <c r="A124" s="76"/>
      <c r="B124" s="19"/>
      <c r="C124" s="28"/>
      <c r="D124" s="28"/>
    </row>
    <row r="125" spans="1:4" ht="20" x14ac:dyDescent="0.35">
      <c r="A125" s="76"/>
      <c r="B125" s="19"/>
      <c r="C125" s="28"/>
      <c r="D125" s="28"/>
    </row>
    <row r="126" spans="1:4" ht="20" x14ac:dyDescent="0.35">
      <c r="A126" s="76"/>
      <c r="B126" s="19"/>
      <c r="C126" s="28"/>
      <c r="D126" s="28"/>
    </row>
    <row r="127" spans="1:4" ht="20" x14ac:dyDescent="0.35">
      <c r="A127" s="76"/>
      <c r="B127" s="19"/>
      <c r="C127" s="28"/>
      <c r="D127" s="28"/>
    </row>
    <row r="128" spans="1:4" ht="20" x14ac:dyDescent="0.35">
      <c r="A128" s="76"/>
      <c r="B128" s="19"/>
      <c r="C128" s="28"/>
      <c r="D128" s="28"/>
    </row>
    <row r="129" spans="1:4" ht="20" x14ac:dyDescent="0.35">
      <c r="A129" s="76"/>
      <c r="B129" s="19"/>
      <c r="C129" s="28"/>
      <c r="D129" s="28"/>
    </row>
    <row r="130" spans="1:4" ht="20" x14ac:dyDescent="0.35">
      <c r="A130" s="76"/>
      <c r="B130" s="19"/>
      <c r="C130" s="28"/>
      <c r="D130" s="28"/>
    </row>
    <row r="131" spans="1:4" ht="20" x14ac:dyDescent="0.35">
      <c r="A131" s="76"/>
      <c r="B131" s="19"/>
      <c r="C131" s="28"/>
      <c r="D131" s="28"/>
    </row>
    <row r="132" spans="1:4" ht="20" x14ac:dyDescent="0.35">
      <c r="A132" s="76"/>
      <c r="B132" s="19"/>
      <c r="C132" s="28"/>
      <c r="D132" s="28"/>
    </row>
    <row r="133" spans="1:4" ht="20" x14ac:dyDescent="0.35">
      <c r="A133" s="76"/>
      <c r="B133" s="19"/>
      <c r="C133" s="28"/>
      <c r="D133" s="28"/>
    </row>
    <row r="134" spans="1:4" ht="20" x14ac:dyDescent="0.35">
      <c r="A134" s="76"/>
      <c r="B134" s="19"/>
      <c r="C134" s="28"/>
      <c r="D134" s="28"/>
    </row>
    <row r="135" spans="1:4" ht="20" x14ac:dyDescent="0.35">
      <c r="A135" s="76"/>
      <c r="B135" s="19"/>
      <c r="C135" s="28"/>
      <c r="D135" s="28"/>
    </row>
    <row r="136" spans="1:4" ht="20" x14ac:dyDescent="0.35">
      <c r="A136" s="76"/>
      <c r="B136" s="19"/>
      <c r="C136" s="28"/>
      <c r="D136" s="28"/>
    </row>
    <row r="137" spans="1:4" ht="20" x14ac:dyDescent="0.35">
      <c r="A137" s="76"/>
      <c r="B137" s="19"/>
      <c r="C137" s="28"/>
      <c r="D137" s="28"/>
    </row>
    <row r="138" spans="1:4" ht="20" x14ac:dyDescent="0.35">
      <c r="A138" s="76"/>
      <c r="B138" s="19"/>
      <c r="C138" s="28"/>
      <c r="D138" s="28"/>
    </row>
    <row r="139" spans="1:4" ht="20" x14ac:dyDescent="0.35">
      <c r="A139" s="76"/>
      <c r="B139" s="19"/>
      <c r="C139" s="28"/>
      <c r="D139" s="28"/>
    </row>
    <row r="140" spans="1:4" ht="20" x14ac:dyDescent="0.35">
      <c r="A140" s="76"/>
      <c r="B140" s="19"/>
      <c r="C140" s="28"/>
      <c r="D140" s="28"/>
    </row>
    <row r="141" spans="1:4" ht="20" x14ac:dyDescent="0.35">
      <c r="A141" s="76"/>
      <c r="B141" s="19"/>
      <c r="C141" s="28"/>
      <c r="D141" s="28"/>
    </row>
    <row r="142" spans="1:4" ht="20" x14ac:dyDescent="0.35">
      <c r="A142" s="76"/>
      <c r="B142" s="19"/>
      <c r="C142" s="28"/>
      <c r="D142" s="28"/>
    </row>
    <row r="143" spans="1:4" ht="20" x14ac:dyDescent="0.35">
      <c r="A143" s="76"/>
      <c r="B143" s="19"/>
      <c r="C143" s="28"/>
      <c r="D143" s="28"/>
    </row>
    <row r="144" spans="1:4" ht="20" x14ac:dyDescent="0.35">
      <c r="A144" s="76"/>
      <c r="B144" s="19"/>
      <c r="C144" s="28"/>
      <c r="D144" s="28"/>
    </row>
    <row r="145" spans="1:4" ht="20" x14ac:dyDescent="0.35">
      <c r="A145" s="76"/>
      <c r="B145" s="19"/>
      <c r="C145" s="28"/>
      <c r="D145" s="28"/>
    </row>
    <row r="146" spans="1:4" ht="20" x14ac:dyDescent="0.35">
      <c r="A146" s="76"/>
      <c r="B146" s="19"/>
      <c r="C146" s="28"/>
      <c r="D146" s="28"/>
    </row>
    <row r="147" spans="1:4" ht="20" x14ac:dyDescent="0.35">
      <c r="A147" s="76"/>
      <c r="B147" s="19"/>
      <c r="C147" s="28"/>
      <c r="D147" s="28"/>
    </row>
    <row r="148" spans="1:4" ht="20" x14ac:dyDescent="0.35">
      <c r="A148" s="76"/>
      <c r="B148" s="19"/>
      <c r="C148" s="28"/>
      <c r="D148" s="28"/>
    </row>
    <row r="149" spans="1:4" ht="20" x14ac:dyDescent="0.35">
      <c r="A149" s="76"/>
      <c r="B149" s="19"/>
      <c r="C149" s="28"/>
      <c r="D149" s="28"/>
    </row>
    <row r="150" spans="1:4" ht="20" x14ac:dyDescent="0.35">
      <c r="A150" s="76"/>
      <c r="B150" s="19"/>
      <c r="C150" s="28"/>
      <c r="D150" s="28"/>
    </row>
    <row r="151" spans="1:4" ht="20" x14ac:dyDescent="0.35">
      <c r="A151" s="76"/>
      <c r="B151" s="19"/>
      <c r="C151" s="28"/>
      <c r="D151" s="28"/>
    </row>
    <row r="152" spans="1:4" ht="20" x14ac:dyDescent="0.35">
      <c r="A152" s="76"/>
      <c r="B152" s="19"/>
      <c r="C152" s="28"/>
      <c r="D152" s="28"/>
    </row>
    <row r="153" spans="1:4" ht="20" x14ac:dyDescent="0.35">
      <c r="A153" s="76"/>
      <c r="B153" s="19"/>
      <c r="C153" s="28"/>
      <c r="D153" s="28"/>
    </row>
    <row r="154" spans="1:4" ht="20" x14ac:dyDescent="0.35">
      <c r="A154" s="76"/>
      <c r="B154" s="19"/>
      <c r="C154" s="28"/>
      <c r="D154" s="28"/>
    </row>
    <row r="155" spans="1:4" ht="20" x14ac:dyDescent="0.35">
      <c r="A155" s="76"/>
      <c r="B155" s="19"/>
      <c r="C155" s="28"/>
      <c r="D155" s="28"/>
    </row>
    <row r="156" spans="1:4" ht="20" x14ac:dyDescent="0.35">
      <c r="A156" s="76"/>
      <c r="B156" s="19"/>
      <c r="C156" s="28"/>
      <c r="D156" s="28"/>
    </row>
    <row r="157" spans="1:4" ht="20" x14ac:dyDescent="0.35">
      <c r="A157" s="76"/>
      <c r="B157" s="19"/>
      <c r="C157" s="28"/>
      <c r="D157" s="28"/>
    </row>
    <row r="158" spans="1:4" ht="20" x14ac:dyDescent="0.35">
      <c r="A158" s="76"/>
      <c r="B158" s="19"/>
      <c r="C158" s="28"/>
      <c r="D158" s="28"/>
    </row>
    <row r="159" spans="1:4" ht="20" x14ac:dyDescent="0.35">
      <c r="A159" s="76"/>
      <c r="B159" s="19"/>
      <c r="C159" s="28"/>
      <c r="D159" s="28"/>
    </row>
    <row r="160" spans="1:4" ht="20" x14ac:dyDescent="0.35">
      <c r="A160" s="76"/>
      <c r="B160" s="19"/>
      <c r="C160" s="28"/>
      <c r="D160" s="28"/>
    </row>
    <row r="161" spans="1:4" ht="20" x14ac:dyDescent="0.35">
      <c r="A161" s="76"/>
      <c r="B161" s="19"/>
      <c r="C161" s="28"/>
      <c r="D161" s="28"/>
    </row>
    <row r="162" spans="1:4" ht="20" x14ac:dyDescent="0.35">
      <c r="A162" s="76"/>
      <c r="B162" s="19"/>
      <c r="C162" s="28"/>
      <c r="D162" s="28"/>
    </row>
    <row r="163" spans="1:4" ht="20" x14ac:dyDescent="0.35">
      <c r="A163" s="76"/>
      <c r="B163" s="19"/>
      <c r="C163" s="28"/>
      <c r="D163" s="28"/>
    </row>
    <row r="164" spans="1:4" ht="20" x14ac:dyDescent="0.35">
      <c r="A164" s="76"/>
      <c r="B164" s="19"/>
      <c r="C164" s="28"/>
      <c r="D164" s="28"/>
    </row>
    <row r="165" spans="1:4" ht="20" x14ac:dyDescent="0.35">
      <c r="A165" s="76"/>
      <c r="B165" s="19"/>
      <c r="C165" s="28"/>
      <c r="D165" s="28"/>
    </row>
    <row r="166" spans="1:4" ht="20" x14ac:dyDescent="0.35">
      <c r="A166" s="76"/>
      <c r="B166" s="19"/>
      <c r="C166" s="28"/>
      <c r="D166" s="28"/>
    </row>
    <row r="167" spans="1:4" ht="20" x14ac:dyDescent="0.35">
      <c r="A167" s="76"/>
      <c r="B167" s="19"/>
      <c r="C167" s="28"/>
      <c r="D167" s="28"/>
    </row>
    <row r="168" spans="1:4" ht="20" x14ac:dyDescent="0.35">
      <c r="A168" s="76"/>
      <c r="B168" s="19"/>
      <c r="C168" s="28"/>
      <c r="D168" s="28"/>
    </row>
    <row r="169" spans="1:4" ht="20" x14ac:dyDescent="0.35">
      <c r="A169" s="76"/>
      <c r="B169" s="19"/>
      <c r="C169" s="28"/>
      <c r="D169" s="28"/>
    </row>
    <row r="170" spans="1:4" ht="20" x14ac:dyDescent="0.35">
      <c r="A170" s="76"/>
      <c r="B170" s="19"/>
      <c r="C170" s="28"/>
      <c r="D170" s="28"/>
    </row>
    <row r="171" spans="1:4" ht="20" x14ac:dyDescent="0.35">
      <c r="A171" s="76"/>
      <c r="B171" s="19"/>
      <c r="C171" s="28"/>
      <c r="D171" s="28"/>
    </row>
    <row r="172" spans="1:4" ht="20" x14ac:dyDescent="0.35">
      <c r="A172" s="76"/>
      <c r="B172" s="19"/>
      <c r="C172" s="28"/>
      <c r="D172" s="28"/>
    </row>
    <row r="173" spans="1:4" ht="20" x14ac:dyDescent="0.35">
      <c r="A173" s="76"/>
      <c r="B173" s="19"/>
      <c r="C173" s="28"/>
      <c r="D173" s="28"/>
    </row>
    <row r="174" spans="1:4" ht="20" x14ac:dyDescent="0.35">
      <c r="A174" s="76"/>
      <c r="B174" s="19"/>
      <c r="C174" s="28"/>
      <c r="D174" s="28"/>
    </row>
    <row r="175" spans="1:4" ht="20" x14ac:dyDescent="0.35">
      <c r="A175" s="76"/>
      <c r="B175" s="19"/>
      <c r="C175" s="28"/>
      <c r="D175" s="28"/>
    </row>
    <row r="176" spans="1:4" ht="20" x14ac:dyDescent="0.35">
      <c r="A176" s="76"/>
      <c r="B176" s="19"/>
      <c r="C176" s="28"/>
      <c r="D176" s="28"/>
    </row>
    <row r="177" spans="1:4" ht="20" x14ac:dyDescent="0.35">
      <c r="A177" s="76"/>
      <c r="B177" s="19"/>
      <c r="C177" s="28"/>
      <c r="D177" s="28"/>
    </row>
    <row r="178" spans="1:4" ht="20" x14ac:dyDescent="0.35">
      <c r="A178" s="76"/>
      <c r="B178" s="19"/>
      <c r="C178" s="28"/>
      <c r="D178" s="28"/>
    </row>
    <row r="179" spans="1:4" ht="20" x14ac:dyDescent="0.35">
      <c r="A179" s="76"/>
      <c r="B179" s="19"/>
      <c r="C179" s="28"/>
      <c r="D179" s="28"/>
    </row>
    <row r="180" spans="1:4" ht="20" x14ac:dyDescent="0.35">
      <c r="A180" s="76"/>
      <c r="B180" s="19"/>
      <c r="C180" s="28"/>
      <c r="D180" s="28"/>
    </row>
    <row r="181" spans="1:4" ht="20" x14ac:dyDescent="0.35">
      <c r="A181" s="76"/>
      <c r="B181" s="19"/>
      <c r="C181" s="28"/>
      <c r="D181" s="28"/>
    </row>
    <row r="182" spans="1:4" ht="20" x14ac:dyDescent="0.35">
      <c r="A182" s="76"/>
      <c r="B182" s="19"/>
      <c r="C182" s="28"/>
      <c r="D182" s="28"/>
    </row>
    <row r="183" spans="1:4" ht="20" x14ac:dyDescent="0.35">
      <c r="A183" s="76"/>
      <c r="B183" s="19"/>
      <c r="C183" s="28"/>
      <c r="D183" s="28"/>
    </row>
    <row r="184" spans="1:4" ht="20" x14ac:dyDescent="0.35">
      <c r="A184" s="76"/>
      <c r="B184" s="19"/>
      <c r="C184" s="28"/>
      <c r="D184" s="28"/>
    </row>
    <row r="185" spans="1:4" ht="20" x14ac:dyDescent="0.35">
      <c r="A185" s="76"/>
      <c r="B185" s="19"/>
      <c r="C185" s="28"/>
      <c r="D185" s="28"/>
    </row>
    <row r="186" spans="1:4" ht="20" x14ac:dyDescent="0.35">
      <c r="A186" s="76"/>
      <c r="B186" s="19"/>
      <c r="C186" s="28"/>
      <c r="D186" s="28"/>
    </row>
    <row r="187" spans="1:4" ht="20" x14ac:dyDescent="0.35">
      <c r="A187" s="76"/>
      <c r="B187" s="19"/>
      <c r="C187" s="28"/>
      <c r="D187" s="28"/>
    </row>
    <row r="188" spans="1:4" ht="20" x14ac:dyDescent="0.35">
      <c r="A188" s="76"/>
      <c r="B188" s="19"/>
      <c r="C188" s="28"/>
      <c r="D188" s="28"/>
    </row>
    <row r="189" spans="1:4" ht="20" x14ac:dyDescent="0.35">
      <c r="A189" s="76"/>
      <c r="B189" s="19"/>
      <c r="C189" s="28"/>
      <c r="D189" s="28"/>
    </row>
    <row r="190" spans="1:4" ht="20" x14ac:dyDescent="0.35">
      <c r="A190" s="76"/>
      <c r="B190" s="19"/>
      <c r="C190" s="28"/>
      <c r="D190" s="28"/>
    </row>
    <row r="191" spans="1:4" ht="20" x14ac:dyDescent="0.35">
      <c r="A191" s="76"/>
      <c r="B191" s="19"/>
      <c r="C191" s="28"/>
      <c r="D191" s="28"/>
    </row>
    <row r="192" spans="1:4" ht="20" x14ac:dyDescent="0.35">
      <c r="A192" s="76"/>
      <c r="B192" s="19"/>
      <c r="C192" s="28"/>
      <c r="D192" s="28"/>
    </row>
    <row r="193" spans="1:4" ht="20" x14ac:dyDescent="0.35">
      <c r="A193" s="76"/>
      <c r="B193" s="19"/>
      <c r="C193" s="28"/>
      <c r="D193" s="28"/>
    </row>
    <row r="194" spans="1:4" ht="20" x14ac:dyDescent="0.35">
      <c r="A194" s="76"/>
      <c r="B194" s="19"/>
      <c r="C194" s="28"/>
      <c r="D194" s="28"/>
    </row>
    <row r="195" spans="1:4" ht="20" x14ac:dyDescent="0.35">
      <c r="A195" s="76"/>
      <c r="B195" s="19"/>
      <c r="C195" s="28"/>
      <c r="D195" s="28"/>
    </row>
    <row r="196" spans="1:4" ht="20" x14ac:dyDescent="0.35">
      <c r="A196" s="76"/>
      <c r="B196" s="19"/>
      <c r="C196" s="28"/>
      <c r="D196" s="28"/>
    </row>
    <row r="197" spans="1:4" ht="20" x14ac:dyDescent="0.35">
      <c r="A197" s="76"/>
      <c r="B197" s="19"/>
      <c r="C197" s="28"/>
      <c r="D197" s="28"/>
    </row>
    <row r="198" spans="1:4" ht="20" x14ac:dyDescent="0.35">
      <c r="A198" s="76"/>
      <c r="B198" s="19"/>
      <c r="C198" s="28"/>
      <c r="D198" s="28"/>
    </row>
    <row r="199" spans="1:4" ht="20" x14ac:dyDescent="0.35">
      <c r="A199" s="76"/>
      <c r="B199" s="19"/>
      <c r="C199" s="28"/>
      <c r="D199" s="28"/>
    </row>
    <row r="200" spans="1:4" ht="20" x14ac:dyDescent="0.35">
      <c r="A200" s="76"/>
      <c r="B200" s="19"/>
      <c r="C200" s="28"/>
      <c r="D200" s="28"/>
    </row>
    <row r="201" spans="1:4" ht="20" x14ac:dyDescent="0.35">
      <c r="A201" s="76"/>
      <c r="B201" s="19"/>
      <c r="C201" s="28"/>
      <c r="D201" s="28"/>
    </row>
    <row r="202" spans="1:4" ht="20" x14ac:dyDescent="0.35">
      <c r="A202" s="76"/>
      <c r="B202" s="19"/>
      <c r="C202" s="28"/>
      <c r="D202" s="28"/>
    </row>
    <row r="203" spans="1:4" ht="20" x14ac:dyDescent="0.35">
      <c r="A203" s="76"/>
      <c r="B203" s="19"/>
      <c r="C203" s="28"/>
      <c r="D203" s="28"/>
    </row>
    <row r="204" spans="1:4" ht="20" x14ac:dyDescent="0.35">
      <c r="A204" s="76"/>
      <c r="B204" s="19"/>
      <c r="C204" s="28"/>
      <c r="D204" s="28"/>
    </row>
    <row r="205" spans="1:4" ht="20" x14ac:dyDescent="0.35">
      <c r="A205" s="76"/>
      <c r="B205" s="19"/>
      <c r="C205" s="28"/>
      <c r="D205" s="28"/>
    </row>
    <row r="206" spans="1:4" ht="20" x14ac:dyDescent="0.35">
      <c r="A206" s="76"/>
      <c r="B206" s="19"/>
      <c r="C206" s="28"/>
      <c r="D206" s="28"/>
    </row>
    <row r="207" spans="1:4" ht="20" x14ac:dyDescent="0.35">
      <c r="A207" s="76"/>
      <c r="B207" s="19"/>
      <c r="C207" s="28"/>
      <c r="D207" s="28"/>
    </row>
    <row r="208" spans="1:4" x14ac:dyDescent="0.35">
      <c r="A208" s="56"/>
      <c r="B208" s="19"/>
      <c r="C208" s="19"/>
      <c r="D208" s="19"/>
    </row>
    <row r="209" spans="1:8" ht="20" x14ac:dyDescent="0.35">
      <c r="A209" s="56"/>
      <c r="B209" s="24" t="s">
        <v>81</v>
      </c>
      <c r="C209" s="24" t="s">
        <v>129</v>
      </c>
      <c r="D209" s="27" t="s">
        <v>81</v>
      </c>
      <c r="E209" s="27" t="s">
        <v>129</v>
      </c>
    </row>
    <row r="210" spans="1:8" ht="21" x14ac:dyDescent="0.5">
      <c r="A210" s="56"/>
      <c r="B210" s="25" t="s">
        <v>83</v>
      </c>
      <c r="C210" s="25" t="s">
        <v>52</v>
      </c>
      <c r="D210" t="s">
        <v>83</v>
      </c>
      <c r="F210" t="str">
        <f t="shared" ref="F210:F221" si="0">IF(NOT(ISBLANK(D210)),D210,IF(NOT(ISBLANK(E210))," "&amp;E210,FALSE))</f>
        <v>Afectación Económica o presupuestal</v>
      </c>
      <c r="G210" t="s">
        <v>83</v>
      </c>
      <c r="H210" t="str">
        <f>IF(NOT(ISERROR(MATCH(G210,_xlfn.ANCHORARRAY(B221),0))),F223&amp;"Por favor no seleccionar los criterios de impacto",G210)</f>
        <v>❌Por favor no seleccionar los criterios de impacto</v>
      </c>
    </row>
    <row r="211" spans="1:8" ht="21" x14ac:dyDescent="0.5">
      <c r="A211" s="56"/>
      <c r="B211" s="25" t="s">
        <v>83</v>
      </c>
      <c r="C211" s="25" t="s">
        <v>86</v>
      </c>
      <c r="E211" t="s">
        <v>52</v>
      </c>
      <c r="F211" t="str">
        <f t="shared" si="0"/>
        <v xml:space="preserve"> Afectación menor a 10 SMLMV .</v>
      </c>
    </row>
    <row r="212" spans="1:8" ht="21" x14ac:dyDescent="0.5">
      <c r="A212" s="56"/>
      <c r="B212" s="25" t="s">
        <v>83</v>
      </c>
      <c r="C212" s="25" t="s">
        <v>87</v>
      </c>
      <c r="E212" t="s">
        <v>86</v>
      </c>
      <c r="F212" t="str">
        <f t="shared" si="0"/>
        <v xml:space="preserve"> Entre 10 y 50 SMLMV </v>
      </c>
    </row>
    <row r="213" spans="1:8" ht="21" x14ac:dyDescent="0.5">
      <c r="A213" s="56"/>
      <c r="B213" s="25" t="s">
        <v>83</v>
      </c>
      <c r="C213" s="25" t="s">
        <v>88</v>
      </c>
      <c r="E213" t="s">
        <v>87</v>
      </c>
      <c r="F213" t="str">
        <f t="shared" si="0"/>
        <v xml:space="preserve"> Entre 50 y 100 SMLMV </v>
      </c>
    </row>
    <row r="214" spans="1:8" ht="21" x14ac:dyDescent="0.5">
      <c r="A214" s="56"/>
      <c r="B214" s="25" t="s">
        <v>83</v>
      </c>
      <c r="C214" s="25" t="s">
        <v>89</v>
      </c>
      <c r="E214" t="s">
        <v>88</v>
      </c>
      <c r="F214" t="str">
        <f t="shared" si="0"/>
        <v xml:space="preserve"> Entre 100 y 500 SMLMV </v>
      </c>
    </row>
    <row r="215" spans="1:8" ht="21" x14ac:dyDescent="0.5">
      <c r="A215" s="56"/>
      <c r="B215" s="25" t="s">
        <v>51</v>
      </c>
      <c r="C215" s="25" t="s">
        <v>90</v>
      </c>
      <c r="E215" t="s">
        <v>89</v>
      </c>
      <c r="F215" t="str">
        <f t="shared" si="0"/>
        <v xml:space="preserve"> Mayor a 500 SMLMV </v>
      </c>
    </row>
    <row r="216" spans="1:8" ht="21" x14ac:dyDescent="0.5">
      <c r="A216" s="56"/>
      <c r="B216" s="25" t="s">
        <v>51</v>
      </c>
      <c r="C216" s="25" t="s">
        <v>490</v>
      </c>
      <c r="D216" t="s">
        <v>51</v>
      </c>
      <c r="F216" t="str">
        <f t="shared" si="0"/>
        <v>Pérdida Reputacional</v>
      </c>
    </row>
    <row r="217" spans="1:8" ht="21" x14ac:dyDescent="0.5">
      <c r="A217" s="56"/>
      <c r="B217" s="25" t="s">
        <v>51</v>
      </c>
      <c r="C217" s="25" t="s">
        <v>91</v>
      </c>
      <c r="E217" t="s">
        <v>90</v>
      </c>
      <c r="F217" t="str">
        <f t="shared" si="0"/>
        <v xml:space="preserve"> El riesgo afecta la imagen de alguna área de la organización</v>
      </c>
    </row>
    <row r="218" spans="1:8" ht="21" x14ac:dyDescent="0.5">
      <c r="A218" s="56"/>
      <c r="B218" s="25" t="s">
        <v>51</v>
      </c>
      <c r="C218" s="25" t="s">
        <v>492</v>
      </c>
      <c r="E218" t="s">
        <v>490</v>
      </c>
      <c r="F218" t="str">
        <f t="shared" si="0"/>
        <v xml:space="preserve"> El riesgo afecta la imagen de la entidad internamente, de conocimiento general, nivel interno, de junta directiva y accionistas y/o de proveedores</v>
      </c>
    </row>
    <row r="219" spans="1:8" ht="21" x14ac:dyDescent="0.5">
      <c r="A219" s="56"/>
      <c r="B219" s="25" t="s">
        <v>51</v>
      </c>
      <c r="C219" s="25" t="s">
        <v>109</v>
      </c>
      <c r="E219" t="s">
        <v>91</v>
      </c>
      <c r="F219" t="str">
        <f t="shared" si="0"/>
        <v xml:space="preserve"> El riesgo afecta la imagen de la entidad con algunos usuarios de relevancia frente al logro de los objetivos</v>
      </c>
    </row>
    <row r="220" spans="1:8" x14ac:dyDescent="0.35">
      <c r="A220" s="56"/>
      <c r="B220" s="26"/>
      <c r="C220" s="26"/>
      <c r="E220" t="s">
        <v>492</v>
      </c>
      <c r="F220" t="str">
        <f t="shared" si="0"/>
        <v xml:space="preserve"> El riesgo afecta la imagen de la entidad con efecto publicitario sostenido a nivel de sector administrativo, nivel departamental o municipal</v>
      </c>
    </row>
    <row r="221" spans="1:8" x14ac:dyDescent="0.35">
      <c r="A221" s="56"/>
      <c r="B221" s="26" t="str" cm="1">
        <f t="array" ref="B221:B223">_xlfn.UNIQUE(Tabla1[[#All],[Criterios]])</f>
        <v>Criterios</v>
      </c>
      <c r="C221" s="26"/>
      <c r="E221" t="s">
        <v>109</v>
      </c>
      <c r="F221" t="str">
        <f t="shared" si="0"/>
        <v xml:space="preserve"> El riesgo afecta la imagen de la entidad a nivel nacional, con efecto publicitarios sostenible a nivel país</v>
      </c>
    </row>
    <row r="222" spans="1:8" x14ac:dyDescent="0.35">
      <c r="A222" s="56"/>
      <c r="B222" s="26" t="str">
        <v>Afectación Económica o presupuestal</v>
      </c>
      <c r="C222" s="26"/>
    </row>
    <row r="223" spans="1:8" x14ac:dyDescent="0.35">
      <c r="B223" s="26" t="str">
        <v>Pérdida Reputacional</v>
      </c>
      <c r="C223" s="26"/>
      <c r="F223" s="29" t="s">
        <v>130</v>
      </c>
    </row>
    <row r="224" spans="1:8" x14ac:dyDescent="0.35">
      <c r="B224" s="18"/>
      <c r="C224" s="18"/>
      <c r="F224" s="29" t="s">
        <v>131</v>
      </c>
    </row>
    <row r="225" spans="2:4" x14ac:dyDescent="0.35">
      <c r="B225" s="18"/>
      <c r="C225" s="18"/>
    </row>
    <row r="226" spans="2:4" x14ac:dyDescent="0.35">
      <c r="B226" s="18"/>
      <c r="C226" s="18"/>
    </row>
    <row r="227" spans="2:4" x14ac:dyDescent="0.35">
      <c r="B227" s="18"/>
      <c r="C227" s="18"/>
      <c r="D227" s="18"/>
    </row>
    <row r="228" spans="2:4" x14ac:dyDescent="0.35">
      <c r="B228" s="18"/>
      <c r="C228" s="18"/>
      <c r="D228" s="18"/>
    </row>
    <row r="229" spans="2:4" x14ac:dyDescent="0.35">
      <c r="B229" s="18"/>
      <c r="C229" s="18"/>
      <c r="D229" s="18"/>
    </row>
    <row r="230" spans="2:4" x14ac:dyDescent="0.35">
      <c r="B230" s="18"/>
      <c r="C230" s="18"/>
      <c r="D230" s="18"/>
    </row>
    <row r="231" spans="2:4" x14ac:dyDescent="0.35">
      <c r="B231" s="18"/>
      <c r="C231" s="18"/>
      <c r="D231" s="18"/>
    </row>
    <row r="232" spans="2:4" x14ac:dyDescent="0.35">
      <c r="B232" s="18"/>
      <c r="C232" s="18"/>
      <c r="D232" s="18"/>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election activeCell="C7" sqref="C7:C8"/>
    </sheetView>
  </sheetViews>
  <sheetFormatPr baseColWidth="10" defaultColWidth="14.26953125" defaultRowHeight="13" x14ac:dyDescent="0.3"/>
  <cols>
    <col min="1" max="2" width="14.26953125" style="61"/>
    <col min="3" max="3" width="17" style="61" customWidth="1"/>
    <col min="4" max="4" width="14.26953125" style="61"/>
    <col min="5" max="5" width="46" style="61" customWidth="1"/>
    <col min="6" max="16384" width="14.26953125" style="61"/>
  </cols>
  <sheetData>
    <row r="1" spans="2:6" ht="24" customHeight="1" thickBot="1" x14ac:dyDescent="0.35">
      <c r="B1" s="542" t="s">
        <v>72</v>
      </c>
      <c r="C1" s="543"/>
      <c r="D1" s="543"/>
      <c r="E1" s="543"/>
      <c r="F1" s="544"/>
    </row>
    <row r="2" spans="2:6" ht="16" thickBot="1" x14ac:dyDescent="0.4">
      <c r="B2" s="62"/>
      <c r="C2" s="62"/>
      <c r="D2" s="62"/>
      <c r="E2" s="62"/>
      <c r="F2" s="62"/>
    </row>
    <row r="3" spans="2:6" ht="16" thickBot="1" x14ac:dyDescent="0.35">
      <c r="B3" s="546" t="s">
        <v>58</v>
      </c>
      <c r="C3" s="547"/>
      <c r="D3" s="547"/>
      <c r="E3" s="74" t="s">
        <v>59</v>
      </c>
      <c r="F3" s="75" t="s">
        <v>60</v>
      </c>
    </row>
    <row r="4" spans="2:6" ht="31" x14ac:dyDescent="0.3">
      <c r="B4" s="548" t="s">
        <v>61</v>
      </c>
      <c r="C4" s="550" t="s">
        <v>13</v>
      </c>
      <c r="D4" s="63" t="s">
        <v>14</v>
      </c>
      <c r="E4" s="64" t="s">
        <v>62</v>
      </c>
      <c r="F4" s="65">
        <v>0.25</v>
      </c>
    </row>
    <row r="5" spans="2:6" ht="46.5" x14ac:dyDescent="0.3">
      <c r="B5" s="549"/>
      <c r="C5" s="551"/>
      <c r="D5" s="66" t="s">
        <v>15</v>
      </c>
      <c r="E5" s="67" t="s">
        <v>63</v>
      </c>
      <c r="F5" s="68">
        <v>0.15</v>
      </c>
    </row>
    <row r="6" spans="2:6" ht="46.5" x14ac:dyDescent="0.3">
      <c r="B6" s="549"/>
      <c r="C6" s="551"/>
      <c r="D6" s="66" t="s">
        <v>16</v>
      </c>
      <c r="E6" s="67" t="s">
        <v>64</v>
      </c>
      <c r="F6" s="68">
        <v>0.1</v>
      </c>
    </row>
    <row r="7" spans="2:6" ht="62" x14ac:dyDescent="0.3">
      <c r="B7" s="549"/>
      <c r="C7" s="551" t="s">
        <v>17</v>
      </c>
      <c r="D7" s="66" t="s">
        <v>10</v>
      </c>
      <c r="E7" s="67" t="s">
        <v>65</v>
      </c>
      <c r="F7" s="68">
        <v>0.25</v>
      </c>
    </row>
    <row r="8" spans="2:6" ht="31" x14ac:dyDescent="0.3">
      <c r="B8" s="549"/>
      <c r="C8" s="551"/>
      <c r="D8" s="66" t="s">
        <v>9</v>
      </c>
      <c r="E8" s="67" t="s">
        <v>66</v>
      </c>
      <c r="F8" s="68">
        <v>0.15</v>
      </c>
    </row>
    <row r="9" spans="2:6" ht="46.5" x14ac:dyDescent="0.3">
      <c r="B9" s="549" t="s">
        <v>136</v>
      </c>
      <c r="C9" s="551" t="s">
        <v>18</v>
      </c>
      <c r="D9" s="66" t="s">
        <v>19</v>
      </c>
      <c r="E9" s="67" t="s">
        <v>67</v>
      </c>
      <c r="F9" s="69" t="s">
        <v>68</v>
      </c>
    </row>
    <row r="10" spans="2:6" ht="46.5" x14ac:dyDescent="0.3">
      <c r="B10" s="549"/>
      <c r="C10" s="551"/>
      <c r="D10" s="66" t="s">
        <v>20</v>
      </c>
      <c r="E10" s="67" t="s">
        <v>69</v>
      </c>
      <c r="F10" s="69" t="s">
        <v>68</v>
      </c>
    </row>
    <row r="11" spans="2:6" ht="46.5" x14ac:dyDescent="0.3">
      <c r="B11" s="549"/>
      <c r="C11" s="551" t="s">
        <v>21</v>
      </c>
      <c r="D11" s="66" t="s">
        <v>22</v>
      </c>
      <c r="E11" s="67" t="s">
        <v>70</v>
      </c>
      <c r="F11" s="69" t="s">
        <v>68</v>
      </c>
    </row>
    <row r="12" spans="2:6" ht="46.5" x14ac:dyDescent="0.3">
      <c r="B12" s="549"/>
      <c r="C12" s="551"/>
      <c r="D12" s="66" t="s">
        <v>23</v>
      </c>
      <c r="E12" s="67" t="s">
        <v>71</v>
      </c>
      <c r="F12" s="69" t="s">
        <v>68</v>
      </c>
    </row>
    <row r="13" spans="2:6" ht="31" x14ac:dyDescent="0.3">
      <c r="B13" s="549"/>
      <c r="C13" s="551" t="s">
        <v>24</v>
      </c>
      <c r="D13" s="66" t="s">
        <v>110</v>
      </c>
      <c r="E13" s="67" t="s">
        <v>113</v>
      </c>
      <c r="F13" s="69" t="s">
        <v>68</v>
      </c>
    </row>
    <row r="14" spans="2:6" ht="16" thickBot="1" x14ac:dyDescent="0.35">
      <c r="B14" s="552"/>
      <c r="C14" s="553"/>
      <c r="D14" s="70" t="s">
        <v>111</v>
      </c>
      <c r="E14" s="71" t="s">
        <v>112</v>
      </c>
      <c r="F14" s="72" t="s">
        <v>68</v>
      </c>
    </row>
    <row r="15" spans="2:6" ht="49.5" customHeight="1" x14ac:dyDescent="0.3">
      <c r="B15" s="545" t="s">
        <v>133</v>
      </c>
      <c r="C15" s="545"/>
      <c r="D15" s="545"/>
      <c r="E15" s="545"/>
      <c r="F15" s="545"/>
    </row>
    <row r="16" spans="2:6" ht="27" customHeight="1" x14ac:dyDescent="0.3">
      <c r="B16" s="7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E3" sqref="E3"/>
    </sheetView>
  </sheetViews>
  <sheetFormatPr baseColWidth="10" defaultRowHeight="14.5" x14ac:dyDescent="0.35"/>
  <sheetData>
    <row r="2" spans="2:5" x14ac:dyDescent="0.35">
      <c r="B2" t="s">
        <v>31</v>
      </c>
      <c r="E2" t="s">
        <v>119</v>
      </c>
    </row>
    <row r="3" spans="2:5" x14ac:dyDescent="0.35">
      <c r="B3" t="s">
        <v>32</v>
      </c>
      <c r="E3" t="s">
        <v>118</v>
      </c>
    </row>
    <row r="4" spans="2:5" x14ac:dyDescent="0.35">
      <c r="B4" t="s">
        <v>123</v>
      </c>
      <c r="E4" t="s">
        <v>120</v>
      </c>
    </row>
    <row r="5" spans="2:5" x14ac:dyDescent="0.35">
      <c r="B5" t="s">
        <v>122</v>
      </c>
    </row>
    <row r="8" spans="2:5" x14ac:dyDescent="0.35">
      <c r="B8" t="s">
        <v>494</v>
      </c>
    </row>
    <row r="9" spans="2:5" x14ac:dyDescent="0.35">
      <c r="B9" t="s">
        <v>36</v>
      </c>
    </row>
    <row r="10" spans="2:5" x14ac:dyDescent="0.35">
      <c r="B10" t="s">
        <v>37</v>
      </c>
    </row>
    <row r="13" spans="2:5" x14ac:dyDescent="0.35">
      <c r="B13" t="s">
        <v>330</v>
      </c>
    </row>
    <row r="14" spans="2:5" x14ac:dyDescent="0.35">
      <c r="B14" t="s">
        <v>328</v>
      </c>
    </row>
    <row r="15" spans="2:5" x14ac:dyDescent="0.35">
      <c r="B15" t="s">
        <v>336</v>
      </c>
    </row>
    <row r="16" spans="2:5" x14ac:dyDescent="0.35">
      <c r="B16" t="s">
        <v>114</v>
      </c>
    </row>
    <row r="17" spans="2:2" x14ac:dyDescent="0.35">
      <c r="B17" t="s">
        <v>115</v>
      </c>
    </row>
    <row r="18" spans="2:2" x14ac:dyDescent="0.35">
      <c r="B18" t="s">
        <v>116</v>
      </c>
    </row>
    <row r="19" spans="2:2" x14ac:dyDescent="0.35">
      <c r="B19" t="s">
        <v>117</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4" sqref="A4"/>
    </sheetView>
  </sheetViews>
  <sheetFormatPr baseColWidth="10" defaultColWidth="11.453125" defaultRowHeight="13" x14ac:dyDescent="0.3"/>
  <cols>
    <col min="1" max="1" width="32.81640625" style="5" customWidth="1"/>
    <col min="2" max="16384" width="11.453125" style="5"/>
  </cols>
  <sheetData>
    <row r="3" spans="1:1" x14ac:dyDescent="0.3">
      <c r="A3" s="6" t="s">
        <v>14</v>
      </c>
    </row>
    <row r="4" spans="1:1" x14ac:dyDescent="0.3">
      <c r="A4" s="6" t="s">
        <v>15</v>
      </c>
    </row>
    <row r="5" spans="1:1" x14ac:dyDescent="0.3">
      <c r="A5" s="6" t="s">
        <v>16</v>
      </c>
    </row>
    <row r="6" spans="1:1" x14ac:dyDescent="0.3">
      <c r="A6" s="6" t="s">
        <v>10</v>
      </c>
    </row>
    <row r="7" spans="1:1" x14ac:dyDescent="0.3">
      <c r="A7" s="6" t="s">
        <v>9</v>
      </c>
    </row>
    <row r="8" spans="1:1" x14ac:dyDescent="0.3">
      <c r="A8" s="6" t="s">
        <v>19</v>
      </c>
    </row>
    <row r="9" spans="1:1" x14ac:dyDescent="0.3">
      <c r="A9" s="6" t="s">
        <v>20</v>
      </c>
    </row>
    <row r="10" spans="1:1" x14ac:dyDescent="0.3">
      <c r="A10" s="6" t="s">
        <v>22</v>
      </c>
    </row>
    <row r="11" spans="1:1" x14ac:dyDescent="0.3">
      <c r="A11" s="6" t="s">
        <v>23</v>
      </c>
    </row>
    <row r="12" spans="1:1" x14ac:dyDescent="0.3">
      <c r="A12" s="6" t="s">
        <v>25</v>
      </c>
    </row>
    <row r="13" spans="1:1" x14ac:dyDescent="0.3">
      <c r="A13" s="6" t="s">
        <v>26</v>
      </c>
    </row>
    <row r="14" spans="1:1" x14ac:dyDescent="0.3">
      <c r="A14" s="6" t="s">
        <v>27</v>
      </c>
    </row>
    <row r="16" spans="1:1" x14ac:dyDescent="0.3">
      <c r="A16" s="6" t="s">
        <v>30</v>
      </c>
    </row>
    <row r="17" spans="1:1" x14ac:dyDescent="0.3">
      <c r="A17" s="6" t="s">
        <v>31</v>
      </c>
    </row>
    <row r="18" spans="1:1" x14ac:dyDescent="0.3">
      <c r="A18" s="6" t="s">
        <v>32</v>
      </c>
    </row>
    <row r="20" spans="1:1" x14ac:dyDescent="0.3">
      <c r="A20" s="6" t="s">
        <v>36</v>
      </c>
    </row>
    <row r="21" spans="1:1" x14ac:dyDescent="0.3">
      <c r="A21" s="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SPAP</cp:lastModifiedBy>
  <cp:lastPrinted>2021-10-13T03:54:14Z</cp:lastPrinted>
  <dcterms:created xsi:type="dcterms:W3CDTF">2020-03-24T23:12:47Z</dcterms:created>
  <dcterms:modified xsi:type="dcterms:W3CDTF">2022-12-14T20:00:39Z</dcterms:modified>
</cp:coreProperties>
</file>