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Doc SIG\VIGENTES\Estrategicos\Direccion estrat\Otros\"/>
    </mc:Choice>
  </mc:AlternateContent>
  <bookViews>
    <workbookView xWindow="0" yWindow="0" windowWidth="15530" windowHeight="693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62913"/>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9" i="1" l="1"/>
  <c r="T136" i="1"/>
  <c r="K67" i="1" l="1"/>
  <c r="L67" i="1" s="1"/>
  <c r="W67" i="1"/>
  <c r="T67" i="1"/>
  <c r="N67" i="1"/>
  <c r="O67" i="1" s="1"/>
  <c r="AA67" i="1" l="1"/>
  <c r="Q67" i="1"/>
  <c r="P67" i="1"/>
  <c r="AE67" i="1" s="1"/>
  <c r="AD67" i="1" s="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36" i="1"/>
  <c r="N136" i="1"/>
  <c r="O136" i="1" s="1"/>
  <c r="P136" i="1" s="1"/>
  <c r="W136" i="1"/>
  <c r="T137" i="1"/>
  <c r="AA137" i="1" s="1"/>
  <c r="W137" i="1"/>
  <c r="T138" i="1"/>
  <c r="AA138" i="1" s="1"/>
  <c r="W138" i="1"/>
  <c r="K139" i="1"/>
  <c r="N139" i="1"/>
  <c r="O139" i="1" s="1"/>
  <c r="W139" i="1"/>
  <c r="T140" i="1"/>
  <c r="AA140" i="1" s="1"/>
  <c r="W140" i="1"/>
  <c r="T141" i="1"/>
  <c r="AA141" i="1" s="1"/>
  <c r="AC141" i="1" s="1"/>
  <c r="W141" i="1"/>
  <c r="K142" i="1"/>
  <c r="N142" i="1"/>
  <c r="O142" i="1" s="1"/>
  <c r="P142" i="1" s="1"/>
  <c r="T142" i="1"/>
  <c r="AA142" i="1" s="1"/>
  <c r="W142" i="1"/>
  <c r="T143" i="1"/>
  <c r="AA143" i="1" s="1"/>
  <c r="W143" i="1"/>
  <c r="T144" i="1"/>
  <c r="AA144" i="1" s="1"/>
  <c r="W144" i="1"/>
  <c r="K145" i="1"/>
  <c r="L145" i="1" s="1"/>
  <c r="N145" i="1"/>
  <c r="O145" i="1" s="1"/>
  <c r="T145" i="1"/>
  <c r="AE145" i="1" s="1"/>
  <c r="AD145" i="1" s="1"/>
  <c r="W145" i="1"/>
  <c r="T146" i="1"/>
  <c r="AA146" i="1" s="1"/>
  <c r="W146" i="1"/>
  <c r="T147" i="1"/>
  <c r="AA147" i="1" s="1"/>
  <c r="W147" i="1"/>
  <c r="K148" i="1"/>
  <c r="N148" i="1"/>
  <c r="O148" i="1" s="1"/>
  <c r="P148" i="1" s="1"/>
  <c r="T148" i="1"/>
  <c r="AA148" i="1" s="1"/>
  <c r="W148" i="1"/>
  <c r="T149" i="1"/>
  <c r="AA149" i="1" s="1"/>
  <c r="W149" i="1"/>
  <c r="T150" i="1"/>
  <c r="AA150" i="1" s="1"/>
  <c r="W150" i="1"/>
  <c r="W97" i="1"/>
  <c r="T97" i="1"/>
  <c r="N97" i="1"/>
  <c r="O97" i="1" s="1"/>
  <c r="P97" i="1" s="1"/>
  <c r="K97" i="1"/>
  <c r="AE146" i="1" l="1"/>
  <c r="AD146" i="1" s="1"/>
  <c r="AA145" i="1"/>
  <c r="AC145" i="1" s="1"/>
  <c r="AE141" i="1"/>
  <c r="AD141" i="1" s="1"/>
  <c r="AB141" i="1"/>
  <c r="AE140" i="1"/>
  <c r="AD140" i="1" s="1"/>
  <c r="AC67" i="1"/>
  <c r="AB67" i="1"/>
  <c r="AF67" i="1" s="1"/>
  <c r="AC146" i="1"/>
  <c r="AB146" i="1"/>
  <c r="AC140" i="1"/>
  <c r="AB140" i="1"/>
  <c r="AC147" i="1"/>
  <c r="AB147" i="1"/>
  <c r="AZ84" i="18"/>
  <c r="AP104" i="18"/>
  <c r="AP24" i="18"/>
  <c r="AF44" i="18"/>
  <c r="V64" i="18"/>
  <c r="L84" i="18"/>
  <c r="AZ64" i="18"/>
  <c r="AP84" i="18"/>
  <c r="AF104" i="18"/>
  <c r="AF24" i="18"/>
  <c r="V44" i="18"/>
  <c r="L64" i="18"/>
  <c r="AZ44" i="18"/>
  <c r="AP64" i="18"/>
  <c r="AF84" i="18"/>
  <c r="V104" i="18"/>
  <c r="V24" i="18"/>
  <c r="L44" i="18"/>
  <c r="AZ104" i="18"/>
  <c r="AZ24" i="18"/>
  <c r="AP44" i="18"/>
  <c r="AF64" i="18"/>
  <c r="V84" i="18"/>
  <c r="L104" i="18"/>
  <c r="L24" i="18"/>
  <c r="BD44" i="18"/>
  <c r="AT64" i="18"/>
  <c r="AJ84" i="18"/>
  <c r="Z104" i="18"/>
  <c r="Z24" i="18"/>
  <c r="P44" i="18"/>
  <c r="BD104" i="18"/>
  <c r="BD24" i="18"/>
  <c r="AT44" i="18"/>
  <c r="AJ64" i="18"/>
  <c r="Z84" i="18"/>
  <c r="P104" i="18"/>
  <c r="P24" i="18"/>
  <c r="BD84" i="18"/>
  <c r="AT104" i="18"/>
  <c r="AT24" i="18"/>
  <c r="AJ44" i="18"/>
  <c r="Z64" i="18"/>
  <c r="P84" i="18"/>
  <c r="BD64" i="18"/>
  <c r="AT84" i="18"/>
  <c r="AJ104" i="18"/>
  <c r="AJ24" i="18"/>
  <c r="Z44" i="18"/>
  <c r="P64" i="18"/>
  <c r="L136" i="1"/>
  <c r="AA136" i="1" s="1"/>
  <c r="AX104" i="18"/>
  <c r="AX24" i="18"/>
  <c r="AN44" i="18"/>
  <c r="AD64" i="18"/>
  <c r="T84" i="18"/>
  <c r="J104" i="18"/>
  <c r="J24" i="18"/>
  <c r="AX84" i="18"/>
  <c r="AN104" i="18"/>
  <c r="AN24" i="18"/>
  <c r="AD44" i="18"/>
  <c r="T64" i="18"/>
  <c r="J84" i="18"/>
  <c r="AX64" i="18"/>
  <c r="AN84" i="18"/>
  <c r="AD104" i="18"/>
  <c r="AD24" i="18"/>
  <c r="T44" i="18"/>
  <c r="J64" i="18"/>
  <c r="AX44" i="18"/>
  <c r="AN64" i="18"/>
  <c r="AD84" i="18"/>
  <c r="T104" i="18"/>
  <c r="T24" i="18"/>
  <c r="J44" i="18"/>
  <c r="AE147" i="1"/>
  <c r="AD147" i="1" s="1"/>
  <c r="L142" i="1"/>
  <c r="BB64" i="18"/>
  <c r="AR84" i="18"/>
  <c r="AH104" i="18"/>
  <c r="AH24" i="18"/>
  <c r="X44" i="18"/>
  <c r="N64" i="18"/>
  <c r="BB44" i="18"/>
  <c r="AR64" i="18"/>
  <c r="AH84" i="18"/>
  <c r="X104" i="18"/>
  <c r="X24" i="18"/>
  <c r="N44" i="18"/>
  <c r="BB104" i="18"/>
  <c r="BB24" i="18"/>
  <c r="AR44" i="18"/>
  <c r="AH64" i="18"/>
  <c r="X84" i="18"/>
  <c r="N104" i="18"/>
  <c r="N24" i="18"/>
  <c r="BB84" i="18"/>
  <c r="AR104" i="18"/>
  <c r="AR24" i="18"/>
  <c r="AH44" i="18"/>
  <c r="X64" i="18"/>
  <c r="N84" i="18"/>
  <c r="L148" i="1"/>
  <c r="BF104" i="18"/>
  <c r="BF24" i="18"/>
  <c r="AV44" i="18"/>
  <c r="AL64" i="18"/>
  <c r="AB84" i="18"/>
  <c r="R104" i="18"/>
  <c r="R24" i="18"/>
  <c r="BF84" i="18"/>
  <c r="AV104" i="18"/>
  <c r="AV24" i="18"/>
  <c r="AL44" i="18"/>
  <c r="AB64" i="18"/>
  <c r="R84" i="18"/>
  <c r="BF64" i="18"/>
  <c r="AV84" i="18"/>
  <c r="AL104" i="18"/>
  <c r="AL24" i="18"/>
  <c r="AB44" i="18"/>
  <c r="R64" i="18"/>
  <c r="BF44" i="18"/>
  <c r="AV64" i="18"/>
  <c r="AL84" i="18"/>
  <c r="AB104" i="18"/>
  <c r="AB24" i="18"/>
  <c r="R44" i="18"/>
  <c r="L139" i="1"/>
  <c r="AA139" i="1" s="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49" i="1"/>
  <c r="AC149" i="1"/>
  <c r="P139" i="1"/>
  <c r="AE139" i="1" s="1"/>
  <c r="AD139" i="1" s="1"/>
  <c r="Q139" i="1"/>
  <c r="AB138" i="1"/>
  <c r="AC138" i="1"/>
  <c r="Q145" i="1"/>
  <c r="P145" i="1"/>
  <c r="AB144" i="1"/>
  <c r="AC144" i="1"/>
  <c r="AB142" i="1"/>
  <c r="AC142" i="1"/>
  <c r="AB150" i="1"/>
  <c r="AC150" i="1"/>
  <c r="AB148" i="1"/>
  <c r="AC148" i="1"/>
  <c r="AB137" i="1"/>
  <c r="AC137" i="1"/>
  <c r="AB143" i="1"/>
  <c r="AC143" i="1"/>
  <c r="Q148" i="1"/>
  <c r="Q142" i="1"/>
  <c r="Q136" i="1"/>
  <c r="AE150" i="1"/>
  <c r="AD150" i="1" s="1"/>
  <c r="AE149" i="1"/>
  <c r="AD149" i="1" s="1"/>
  <c r="AE148" i="1"/>
  <c r="AD148" i="1" s="1"/>
  <c r="AE144" i="1"/>
  <c r="AD144" i="1" s="1"/>
  <c r="AE143" i="1"/>
  <c r="AD143" i="1" s="1"/>
  <c r="AE142" i="1"/>
  <c r="AD142" i="1" s="1"/>
  <c r="AE138" i="1"/>
  <c r="AD138" i="1" s="1"/>
  <c r="AE137" i="1"/>
  <c r="AD137" i="1" s="1"/>
  <c r="AE136" i="1"/>
  <c r="AD136" i="1" s="1"/>
  <c r="Q97" i="1"/>
  <c r="AE97" i="1"/>
  <c r="AD97" i="1" s="1"/>
  <c r="L97" i="1"/>
  <c r="AA97" i="1" s="1"/>
  <c r="AB139" i="1" l="1"/>
  <c r="V102" i="19" s="1"/>
  <c r="AC139" i="1"/>
  <c r="AB136" i="1"/>
  <c r="S201" i="19" s="1"/>
  <c r="AC136" i="1"/>
  <c r="X52" i="19"/>
  <c r="R52" i="19"/>
  <c r="O52" i="19"/>
  <c r="AB145" i="1"/>
  <c r="S254" i="19" s="1"/>
  <c r="R102" i="19"/>
  <c r="U52" i="19"/>
  <c r="AF141" i="1"/>
  <c r="O152" i="19"/>
  <c r="L202" i="19"/>
  <c r="L252" i="19"/>
  <c r="L102" i="19"/>
  <c r="X102" i="19"/>
  <c r="O252" i="19"/>
  <c r="L52" i="19"/>
  <c r="L152" i="19"/>
  <c r="O102" i="19"/>
  <c r="X152" i="19"/>
  <c r="O202" i="19"/>
  <c r="R252" i="19"/>
  <c r="R152" i="19"/>
  <c r="U252" i="19"/>
  <c r="U102" i="19"/>
  <c r="X202" i="19"/>
  <c r="R202" i="19"/>
  <c r="X252" i="19"/>
  <c r="U152" i="19"/>
  <c r="U202" i="19"/>
  <c r="AF147"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3"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37"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0"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0"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46"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S251" i="19"/>
  <c r="V151" i="19"/>
  <c r="V101" i="19"/>
  <c r="M151" i="19"/>
  <c r="P251" i="19"/>
  <c r="M101" i="19"/>
  <c r="M251" i="19"/>
  <c r="J101" i="19"/>
  <c r="S101" i="19"/>
  <c r="AF144" i="1"/>
  <c r="AF136" i="1"/>
  <c r="AF148" i="1"/>
  <c r="AF142" i="1"/>
  <c r="AF138" i="1"/>
  <c r="AF149" i="1"/>
  <c r="AB97" i="1"/>
  <c r="AF97" i="1" s="1"/>
  <c r="AC97" i="1"/>
  <c r="P151" i="19" l="1"/>
  <c r="P201" i="19"/>
  <c r="P101" i="19"/>
  <c r="V201" i="19"/>
  <c r="J152" i="19"/>
  <c r="J51" i="19"/>
  <c r="S151" i="19"/>
  <c r="S51" i="19"/>
  <c r="J52" i="19"/>
  <c r="J251" i="19"/>
  <c r="V51" i="19"/>
  <c r="M102" i="19"/>
  <c r="J201" i="19"/>
  <c r="M201" i="19"/>
  <c r="M51" i="19"/>
  <c r="V251" i="19"/>
  <c r="M202" i="19"/>
  <c r="P152" i="19"/>
  <c r="J151" i="19"/>
  <c r="P51" i="19"/>
  <c r="V252" i="19"/>
  <c r="P252" i="19"/>
  <c r="S152" i="19"/>
  <c r="M152" i="19"/>
  <c r="J102" i="19"/>
  <c r="P102" i="19"/>
  <c r="M52" i="19"/>
  <c r="S202" i="19"/>
  <c r="J202" i="19"/>
  <c r="V152" i="19"/>
  <c r="P202" i="19"/>
  <c r="S252" i="19"/>
  <c r="V154" i="19"/>
  <c r="J252" i="19"/>
  <c r="S52" i="19"/>
  <c r="V202" i="19"/>
  <c r="V52" i="19"/>
  <c r="P52" i="19"/>
  <c r="M252" i="19"/>
  <c r="S102" i="19"/>
  <c r="AF139" i="1"/>
  <c r="M204" i="19"/>
  <c r="J204" i="19"/>
  <c r="J104" i="19"/>
  <c r="P54" i="19"/>
  <c r="P254" i="19"/>
  <c r="J54" i="19"/>
  <c r="V204" i="19"/>
  <c r="M154" i="19"/>
  <c r="P104" i="19"/>
  <c r="J254" i="19"/>
  <c r="M254" i="19"/>
  <c r="V54" i="19"/>
  <c r="M54" i="19"/>
  <c r="P204" i="19"/>
  <c r="V254" i="19"/>
  <c r="P154" i="19"/>
  <c r="S154" i="19"/>
  <c r="V104" i="19"/>
  <c r="AF145"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F221" i="13" l="1"/>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W89" i="1"/>
  <c r="T89" i="1"/>
  <c r="AA89" i="1" s="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8" i="1" s="1"/>
  <c r="AA9" i="1" s="1"/>
  <c r="AA19" i="1"/>
  <c r="AA20"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57" i="1"/>
  <c r="AB54" i="1"/>
  <c r="AC54" i="1"/>
  <c r="AF78" i="1"/>
  <c r="AF17" i="1"/>
  <c r="AF87" i="1"/>
  <c r="AF48" i="1"/>
  <c r="AB18" i="1"/>
  <c r="AC18" i="1"/>
  <c r="AA21" i="1"/>
  <c r="AC20" i="1"/>
  <c r="AB20" i="1"/>
  <c r="AF60" i="1"/>
  <c r="AF53" i="1"/>
  <c r="AF105" i="1"/>
  <c r="AC19" i="1"/>
  <c r="AB19"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N82" i="1"/>
  <c r="O82" i="1" s="1"/>
  <c r="AB21" i="1"/>
  <c r="AC21" i="1"/>
  <c r="AF18" i="1"/>
  <c r="AF54" i="1"/>
  <c r="AF20" i="1"/>
  <c r="N130" i="1"/>
  <c r="O130" i="1" s="1"/>
  <c r="N127" i="1"/>
  <c r="O127" i="1" s="1"/>
  <c r="N124" i="1"/>
  <c r="O124" i="1" s="1"/>
  <c r="N133" i="1"/>
  <c r="O133" i="1" s="1"/>
  <c r="N91" i="1"/>
  <c r="O91" i="1" s="1"/>
  <c r="N76" i="1"/>
  <c r="O76" i="1" s="1"/>
  <c r="N61" i="1"/>
  <c r="O61" i="1" s="1"/>
  <c r="N49" i="1"/>
  <c r="O49" i="1" s="1"/>
  <c r="N28" i="1"/>
  <c r="O28" i="1" s="1"/>
  <c r="N16" i="1"/>
  <c r="O16" i="1" s="1"/>
  <c r="N10" i="1"/>
  <c r="O10" i="1" s="1"/>
  <c r="N103" i="1"/>
  <c r="O103" i="1" s="1"/>
  <c r="N100" i="1"/>
  <c r="O100" i="1" s="1"/>
  <c r="N88" i="1"/>
  <c r="O88" i="1" s="1"/>
  <c r="N73" i="1"/>
  <c r="O73" i="1" s="1"/>
  <c r="N58" i="1"/>
  <c r="O58" i="1" s="1"/>
  <c r="N46" i="1"/>
  <c r="O46" i="1" s="1"/>
  <c r="N37" i="1"/>
  <c r="O37" i="1" s="1"/>
  <c r="N25" i="1"/>
  <c r="O25" i="1" s="1"/>
  <c r="N118" i="1"/>
  <c r="O118" i="1" s="1"/>
  <c r="N115" i="1"/>
  <c r="O115" i="1" s="1"/>
  <c r="N112" i="1"/>
  <c r="O112" i="1" s="1"/>
  <c r="N109" i="1"/>
  <c r="O109" i="1" s="1"/>
  <c r="N106" i="1"/>
  <c r="O106" i="1" s="1"/>
  <c r="N85" i="1"/>
  <c r="O85" i="1" s="1"/>
  <c r="N70" i="1"/>
  <c r="O70" i="1" s="1"/>
  <c r="N55" i="1"/>
  <c r="O55" i="1" s="1"/>
  <c r="N43" i="1"/>
  <c r="O43" i="1" s="1"/>
  <c r="N34" i="1"/>
  <c r="O34" i="1" s="1"/>
  <c r="N22" i="1"/>
  <c r="O22" i="1" s="1"/>
  <c r="N52" i="1"/>
  <c r="O52" i="1" s="1"/>
  <c r="N94" i="1"/>
  <c r="O94" i="1" s="1"/>
  <c r="N31" i="1"/>
  <c r="O31" i="1" s="1"/>
  <c r="N64" i="1"/>
  <c r="O64" i="1" s="1"/>
  <c r="N121" i="1"/>
  <c r="O121" i="1" s="1"/>
  <c r="N13" i="1"/>
  <c r="O13" i="1" s="1"/>
  <c r="N40" i="1"/>
  <c r="O40" i="1" s="1"/>
  <c r="N79" i="1"/>
  <c r="O79" i="1" s="1"/>
  <c r="N19" i="1"/>
  <c r="O19" i="1" s="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AZ28" i="18"/>
  <c r="AF68" i="18"/>
  <c r="AZ68" i="18"/>
  <c r="AP8" i="18"/>
  <c r="AZ8" i="18"/>
  <c r="AF48" i="18"/>
  <c r="AZ88" i="18"/>
  <c r="V28" i="18"/>
  <c r="AP48" i="18"/>
  <c r="V8" i="18"/>
  <c r="AF28" i="18"/>
  <c r="L68" i="18"/>
  <c r="AP28" i="18"/>
  <c r="V88" i="18"/>
  <c r="V68" i="18"/>
  <c r="V48" i="18"/>
  <c r="AZ48" i="18"/>
  <c r="AF88" i="18"/>
  <c r="L88" i="18"/>
  <c r="L48" i="18"/>
  <c r="AF8" i="18"/>
  <c r="AP88" i="18"/>
  <c r="L28" i="18"/>
  <c r="AP68" i="18"/>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P94" i="18"/>
  <c r="AF34" i="18"/>
  <c r="AZ34" i="18"/>
  <c r="AP74" i="18"/>
  <c r="AF14" i="18"/>
  <c r="AP14" i="18"/>
  <c r="L94" i="18"/>
  <c r="AZ14" i="18"/>
  <c r="AP54" i="18"/>
  <c r="L74" i="18"/>
  <c r="AF74" i="18"/>
  <c r="V94" i="18"/>
  <c r="V54" i="18"/>
  <c r="V34" i="18"/>
  <c r="V14" i="18"/>
  <c r="L34" i="18"/>
  <c r="AP34" i="18"/>
  <c r="AF94" i="18"/>
  <c r="AF54" i="18"/>
  <c r="AZ94" i="18"/>
  <c r="AZ74" i="18"/>
  <c r="L54" i="18"/>
  <c r="AZ54" i="18"/>
  <c r="V74" i="18"/>
  <c r="BF100" i="18"/>
  <c r="AV40" i="18"/>
  <c r="AV80" i="18"/>
  <c r="BF80" i="18"/>
  <c r="AV20" i="18"/>
  <c r="AV60" i="18"/>
  <c r="AL40" i="18"/>
  <c r="AL20" i="18"/>
  <c r="BF60" i="18"/>
  <c r="AV100" i="18"/>
  <c r="AB100" i="18"/>
  <c r="AB80" i="18"/>
  <c r="BF40" i="18"/>
  <c r="BF20" i="18"/>
  <c r="AL80" i="18"/>
  <c r="R20" i="18"/>
  <c r="AB60" i="18"/>
  <c r="AB40" i="18"/>
  <c r="AB20" i="18"/>
  <c r="R100" i="18"/>
  <c r="R60" i="18"/>
  <c r="AL60" i="18"/>
  <c r="R80" i="18"/>
  <c r="AL100" i="18"/>
  <c r="R40" i="18"/>
  <c r="AV86" i="18"/>
  <c r="AL26" i="18"/>
  <c r="BF26" i="18"/>
  <c r="AV66" i="18"/>
  <c r="AL6" i="18"/>
  <c r="AV26" i="18"/>
  <c r="AL86" i="18"/>
  <c r="AL66" i="18"/>
  <c r="AL46" i="18"/>
  <c r="R86" i="18"/>
  <c r="AV6" i="18"/>
  <c r="BF66" i="18"/>
  <c r="AV46" i="18"/>
  <c r="R26" i="18"/>
  <c r="R66" i="18"/>
  <c r="BF86" i="18"/>
  <c r="AB86" i="18"/>
  <c r="AB66" i="18"/>
  <c r="AB46" i="18"/>
  <c r="AB26" i="18"/>
  <c r="AB6" i="18"/>
  <c r="BF46" i="18"/>
  <c r="BF6" i="18"/>
  <c r="R46" i="18"/>
  <c r="AV96" i="18"/>
  <c r="AL36" i="18"/>
  <c r="BF36" i="18"/>
  <c r="AV76" i="18"/>
  <c r="AL16" i="18"/>
  <c r="BF56" i="18"/>
  <c r="R96" i="18"/>
  <c r="BF96" i="18"/>
  <c r="AV16" i="18"/>
  <c r="AB96" i="18"/>
  <c r="R76" i="18"/>
  <c r="AV36" i="18"/>
  <c r="R36" i="18"/>
  <c r="BF76" i="18"/>
  <c r="AL56" i="18"/>
  <c r="AB76" i="18"/>
  <c r="AL96" i="18"/>
  <c r="AB56" i="18"/>
  <c r="AB36" i="18"/>
  <c r="AB16" i="18"/>
  <c r="BF16" i="18"/>
  <c r="AL76" i="18"/>
  <c r="R56" i="18"/>
  <c r="AV5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BD90" i="18"/>
  <c r="AT30" i="18"/>
  <c r="AT70" i="18"/>
  <c r="BD70" i="18"/>
  <c r="AT10" i="18"/>
  <c r="Z90" i="18"/>
  <c r="AT90" i="18"/>
  <c r="AJ30" i="18"/>
  <c r="AJ10" i="18"/>
  <c r="Z70" i="18"/>
  <c r="AJ90" i="18"/>
  <c r="AJ50" i="18"/>
  <c r="BD50" i="18"/>
  <c r="BD30" i="18"/>
  <c r="BD10" i="18"/>
  <c r="P70" i="18"/>
  <c r="AJ70" i="18"/>
  <c r="P50" i="18"/>
  <c r="AT50" i="18"/>
  <c r="Z50" i="18"/>
  <c r="Z30" i="18"/>
  <c r="Z10" i="18"/>
  <c r="P90" i="18"/>
  <c r="P30" i="18"/>
  <c r="AT52" i="18"/>
  <c r="AT92" i="18"/>
  <c r="BD92" i="18"/>
  <c r="AT32" i="18"/>
  <c r="BD32" i="18"/>
  <c r="AT12" i="18"/>
  <c r="BD72" i="18"/>
  <c r="BD12" i="18"/>
  <c r="AJ72" i="18"/>
  <c r="Z92" i="18"/>
  <c r="Z72" i="18"/>
  <c r="Z52" i="18"/>
  <c r="Z32" i="18"/>
  <c r="AT72" i="18"/>
  <c r="AJ32" i="18"/>
  <c r="Z12" i="18"/>
  <c r="P92" i="18"/>
  <c r="P32" i="18"/>
  <c r="AJ92" i="18"/>
  <c r="P72" i="18"/>
  <c r="AJ52" i="18"/>
  <c r="AJ12" i="18"/>
  <c r="BD52" i="18"/>
  <c r="P52" i="18"/>
  <c r="BB94" i="18"/>
  <c r="AR34" i="18"/>
  <c r="AR74" i="18"/>
  <c r="BB74" i="18"/>
  <c r="AR14" i="18"/>
  <c r="AR54" i="18"/>
  <c r="AH94" i="18"/>
  <c r="AH74" i="18"/>
  <c r="AH54" i="18"/>
  <c r="X74" i="18"/>
  <c r="AR94" i="18"/>
  <c r="AH34" i="18"/>
  <c r="N94" i="18"/>
  <c r="N74" i="18"/>
  <c r="AH14" i="18"/>
  <c r="N54" i="18"/>
  <c r="BB54" i="18"/>
  <c r="N34" i="18"/>
  <c r="BB34" i="18"/>
  <c r="X34" i="18"/>
  <c r="BB14" i="18"/>
  <c r="X94" i="18"/>
  <c r="X54" i="18"/>
  <c r="X14" i="18"/>
  <c r="BD68" i="18"/>
  <c r="AT8" i="18"/>
  <c r="AT48" i="18"/>
  <c r="BD48" i="18"/>
  <c r="AJ88" i="18"/>
  <c r="AT68" i="18"/>
  <c r="Z68" i="18"/>
  <c r="BD8" i="18"/>
  <c r="Z48" i="18"/>
  <c r="Z88" i="18"/>
  <c r="BD88" i="18"/>
  <c r="Z28" i="18"/>
  <c r="Z8" i="18"/>
  <c r="P88" i="18"/>
  <c r="P48" i="18"/>
  <c r="AJ48" i="18"/>
  <c r="BD28" i="18"/>
  <c r="AT88" i="18"/>
  <c r="AJ8" i="18"/>
  <c r="P28" i="18"/>
  <c r="AJ68" i="18"/>
  <c r="AJ28" i="18"/>
  <c r="P68" i="18"/>
  <c r="AT28" i="18"/>
  <c r="BF78" i="18"/>
  <c r="AV18" i="18"/>
  <c r="AV58" i="18"/>
  <c r="BF58" i="18"/>
  <c r="AL98" i="18"/>
  <c r="BF38" i="18"/>
  <c r="AB98" i="18"/>
  <c r="AB78" i="18"/>
  <c r="BF18" i="18"/>
  <c r="AL78" i="18"/>
  <c r="AL58" i="18"/>
  <c r="AL38" i="18"/>
  <c r="AB58" i="18"/>
  <c r="BF98" i="18"/>
  <c r="R78" i="18"/>
  <c r="R58" i="18"/>
  <c r="AV98" i="18"/>
  <c r="R38" i="18"/>
  <c r="AV78" i="18"/>
  <c r="AV38" i="18"/>
  <c r="AB38" i="18"/>
  <c r="R98" i="18"/>
  <c r="AL18" i="18"/>
  <c r="AB18" i="18"/>
  <c r="R18" i="18"/>
  <c r="AV62" i="18"/>
  <c r="AV102" i="18"/>
  <c r="BF102" i="18"/>
  <c r="AV42" i="18"/>
  <c r="AV82" i="18"/>
  <c r="AV22" i="18"/>
  <c r="AL82" i="18"/>
  <c r="AB22" i="18"/>
  <c r="R102" i="18"/>
  <c r="R82" i="18"/>
  <c r="AL62" i="18"/>
  <c r="AL22" i="18"/>
  <c r="AB102" i="18"/>
  <c r="R42" i="18"/>
  <c r="BF82" i="18"/>
  <c r="AL102" i="18"/>
  <c r="R22" i="18"/>
  <c r="BF62" i="18"/>
  <c r="BF42" i="18"/>
  <c r="AL42" i="18"/>
  <c r="AB82" i="18"/>
  <c r="AB42" i="18"/>
  <c r="R62" i="18"/>
  <c r="BF22" i="18"/>
  <c r="AB62" i="18"/>
  <c r="AR68" i="18"/>
  <c r="BB8" i="18"/>
  <c r="AR48" i="18"/>
  <c r="BB28" i="18"/>
  <c r="AH8" i="18"/>
  <c r="BB68" i="18"/>
  <c r="AR28" i="18"/>
  <c r="AR8" i="18"/>
  <c r="X88" i="18"/>
  <c r="X68" i="18"/>
  <c r="X48" i="18"/>
  <c r="BB88" i="18"/>
  <c r="BB48" i="18"/>
  <c r="AH88" i="18"/>
  <c r="X28" i="18"/>
  <c r="X8" i="18"/>
  <c r="N88" i="18"/>
  <c r="N48" i="18"/>
  <c r="AH48" i="18"/>
  <c r="AR88" i="18"/>
  <c r="N28" i="18"/>
  <c r="N68" i="18"/>
  <c r="AH28" i="18"/>
  <c r="AH68" i="18"/>
  <c r="AN50" i="18"/>
  <c r="AN90" i="18"/>
  <c r="AX90" i="18"/>
  <c r="AN30" i="18"/>
  <c r="AX70" i="18"/>
  <c r="AX50" i="18"/>
  <c r="AD90" i="18"/>
  <c r="AD70" i="18"/>
  <c r="T90" i="18"/>
  <c r="AN10" i="18"/>
  <c r="T10" i="18"/>
  <c r="J90" i="18"/>
  <c r="AD50" i="18"/>
  <c r="AX30" i="18"/>
  <c r="AD10" i="18"/>
  <c r="J30" i="18"/>
  <c r="AX10" i="18"/>
  <c r="J70" i="18"/>
  <c r="AN70" i="18"/>
  <c r="AD30" i="18"/>
  <c r="T50" i="18"/>
  <c r="T70" i="18"/>
  <c r="T30" i="18"/>
  <c r="J50" i="18"/>
  <c r="AX98" i="18"/>
  <c r="AN38" i="18"/>
  <c r="AN78" i="18"/>
  <c r="AX78" i="18"/>
  <c r="AN18" i="18"/>
  <c r="AN98" i="18"/>
  <c r="AX38" i="18"/>
  <c r="T78" i="18"/>
  <c r="AD58" i="18"/>
  <c r="AD98" i="18"/>
  <c r="AD18" i="18"/>
  <c r="T58" i="18"/>
  <c r="T38" i="18"/>
  <c r="T18" i="18"/>
  <c r="T98" i="18"/>
  <c r="J98" i="18"/>
  <c r="AX58" i="18"/>
  <c r="AX18" i="18"/>
  <c r="AD78" i="18"/>
  <c r="J78" i="18"/>
  <c r="J58" i="18"/>
  <c r="AD38" i="18"/>
  <c r="AN58" i="18"/>
  <c r="J38" i="18"/>
  <c r="AR56" i="18"/>
  <c r="AR96" i="18"/>
  <c r="BB96" i="18"/>
  <c r="AR36" i="18"/>
  <c r="AH96" i="18"/>
  <c r="AH56" i="18"/>
  <c r="AH36" i="18"/>
  <c r="AH16" i="18"/>
  <c r="BB36" i="18"/>
  <c r="AR16" i="18"/>
  <c r="N36" i="18"/>
  <c r="BB76" i="18"/>
  <c r="X76" i="18"/>
  <c r="X56" i="18"/>
  <c r="X36" i="18"/>
  <c r="BB56" i="18"/>
  <c r="X96" i="18"/>
  <c r="X16" i="18"/>
  <c r="N96" i="18"/>
  <c r="BB16" i="18"/>
  <c r="AR76" i="18"/>
  <c r="AH76" i="18"/>
  <c r="N76" i="18"/>
  <c r="N56" i="18"/>
  <c r="AR90" i="18"/>
  <c r="AH30" i="18"/>
  <c r="BB30" i="18"/>
  <c r="AR70" i="18"/>
  <c r="AH10" i="18"/>
  <c r="AR50" i="18"/>
  <c r="N90" i="18"/>
  <c r="BB50" i="18"/>
  <c r="AH90" i="18"/>
  <c r="AH70" i="18"/>
  <c r="AH50" i="18"/>
  <c r="AR30" i="18"/>
  <c r="N70" i="18"/>
  <c r="BB70" i="18"/>
  <c r="N30" i="18"/>
  <c r="BB10" i="18"/>
  <c r="X90" i="18"/>
  <c r="X70" i="18"/>
  <c r="N50" i="18"/>
  <c r="AR10" i="18"/>
  <c r="X50" i="18"/>
  <c r="X30" i="18"/>
  <c r="X10" i="18"/>
  <c r="BB90" i="18"/>
  <c r="AZ6" i="18"/>
  <c r="AF46" i="18"/>
  <c r="AZ46" i="18"/>
  <c r="AP86" i="18"/>
  <c r="AF26" i="18"/>
  <c r="V6" i="18"/>
  <c r="AZ86" i="18"/>
  <c r="AF86" i="18"/>
  <c r="AF66" i="18"/>
  <c r="AZ26" i="18"/>
  <c r="L86" i="18"/>
  <c r="AP66" i="18"/>
  <c r="AF6" i="18"/>
  <c r="L46" i="18"/>
  <c r="AP46" i="18"/>
  <c r="AP26" i="18"/>
  <c r="AP6" i="18"/>
  <c r="L26" i="18"/>
  <c r="AZ66" i="18"/>
  <c r="V86" i="18"/>
  <c r="L66" i="18"/>
  <c r="V66" i="18"/>
  <c r="V46" i="18"/>
  <c r="V26" i="18"/>
  <c r="AP82" i="18"/>
  <c r="AF22" i="18"/>
  <c r="AZ22" i="18"/>
  <c r="AP62" i="18"/>
  <c r="V102" i="18"/>
  <c r="AZ62" i="18"/>
  <c r="AP42" i="18"/>
  <c r="AZ102" i="18"/>
  <c r="AF82" i="18"/>
  <c r="AF42" i="18"/>
  <c r="L22" i="18"/>
  <c r="AP102" i="18"/>
  <c r="V82" i="18"/>
  <c r="V62" i="18"/>
  <c r="V42" i="18"/>
  <c r="V22" i="18"/>
  <c r="L102" i="18"/>
  <c r="L62" i="18"/>
  <c r="L82" i="18"/>
  <c r="AP22" i="18"/>
  <c r="AF62" i="18"/>
  <c r="AF102" i="18"/>
  <c r="L42" i="18"/>
  <c r="AZ82" i="18"/>
  <c r="AZ42" i="18"/>
  <c r="BB12" i="18"/>
  <c r="AH52" i="18"/>
  <c r="BB52" i="18"/>
  <c r="AR92" i="18"/>
  <c r="AH32" i="18"/>
  <c r="BB92" i="18"/>
  <c r="X12" i="18"/>
  <c r="AR72" i="18"/>
  <c r="AR12" i="18"/>
  <c r="N92" i="18"/>
  <c r="BB32" i="18"/>
  <c r="N52" i="18"/>
  <c r="AH72" i="18"/>
  <c r="X92" i="18"/>
  <c r="X72" i="18"/>
  <c r="X52" i="18"/>
  <c r="X32" i="18"/>
  <c r="AR52" i="18"/>
  <c r="N32" i="18"/>
  <c r="AR32" i="18"/>
  <c r="BB72" i="18"/>
  <c r="AH92" i="18"/>
  <c r="N72" i="18"/>
  <c r="AH12" i="18"/>
  <c r="AN72" i="18"/>
  <c r="AX12" i="18"/>
  <c r="AN52" i="18"/>
  <c r="T92" i="18"/>
  <c r="AN92" i="18"/>
  <c r="AD72" i="18"/>
  <c r="AD52" i="18"/>
  <c r="AD32" i="18"/>
  <c r="AX92" i="18"/>
  <c r="AX32" i="18"/>
  <c r="AX52" i="18"/>
  <c r="AD12" i="18"/>
  <c r="J72" i="18"/>
  <c r="J52" i="18"/>
  <c r="T72" i="18"/>
  <c r="T52" i="18"/>
  <c r="T32" i="18"/>
  <c r="T12" i="18"/>
  <c r="J92" i="18"/>
  <c r="AN32" i="18"/>
  <c r="AN12" i="18"/>
  <c r="J32" i="18"/>
  <c r="AD92" i="18"/>
  <c r="AX72" i="18"/>
  <c r="AX88" i="18"/>
  <c r="AN28" i="18"/>
  <c r="AN68" i="18"/>
  <c r="AX68" i="18"/>
  <c r="AN8" i="18"/>
  <c r="AD28" i="18"/>
  <c r="T88" i="18"/>
  <c r="AX8" i="18"/>
  <c r="T68" i="18"/>
  <c r="AD68" i="18"/>
  <c r="J68" i="18"/>
  <c r="T48" i="18"/>
  <c r="T28" i="18"/>
  <c r="T8" i="18"/>
  <c r="AX48" i="18"/>
  <c r="AD88" i="18"/>
  <c r="AD48" i="18"/>
  <c r="J88" i="18"/>
  <c r="J48" i="18"/>
  <c r="AX28" i="18"/>
  <c r="AD8" i="18"/>
  <c r="AN88" i="18"/>
  <c r="AN48" i="18"/>
  <c r="J28" i="18"/>
  <c r="BB82" i="18"/>
  <c r="AR22" i="18"/>
  <c r="AR62" i="18"/>
  <c r="BB62" i="18"/>
  <c r="AH102" i="18"/>
  <c r="AR102" i="18"/>
  <c r="X82" i="18"/>
  <c r="BB102" i="18"/>
  <c r="BB42" i="18"/>
  <c r="X62" i="18"/>
  <c r="BB22" i="18"/>
  <c r="AR82" i="18"/>
  <c r="X42" i="18"/>
  <c r="X22" i="18"/>
  <c r="N102" i="18"/>
  <c r="N62" i="18"/>
  <c r="N82" i="18"/>
  <c r="AR42" i="18"/>
  <c r="AH62" i="18"/>
  <c r="X102" i="18"/>
  <c r="AH22" i="18"/>
  <c r="N42" i="18"/>
  <c r="AH42" i="18"/>
  <c r="AH82" i="18"/>
  <c r="N22" i="18"/>
  <c r="AZ16" i="18"/>
  <c r="AF56" i="18"/>
  <c r="AZ56" i="18"/>
  <c r="AF96" i="18"/>
  <c r="AP96" i="18"/>
  <c r="AF36" i="18"/>
  <c r="AP56" i="18"/>
  <c r="AF76" i="18"/>
  <c r="V16" i="18"/>
  <c r="AP36" i="18"/>
  <c r="AZ96" i="18"/>
  <c r="L96" i="18"/>
  <c r="L56" i="18"/>
  <c r="AP16" i="18"/>
  <c r="AF16" i="18"/>
  <c r="L36" i="18"/>
  <c r="AZ76" i="18"/>
  <c r="AZ36" i="18"/>
  <c r="V76" i="18"/>
  <c r="V56" i="18"/>
  <c r="V36" i="18"/>
  <c r="V96" i="18"/>
  <c r="AP76" i="18"/>
  <c r="L76" i="18"/>
  <c r="AX20" i="18"/>
  <c r="AD60" i="18"/>
  <c r="AX60" i="18"/>
  <c r="AD100" i="18"/>
  <c r="AN100" i="18"/>
  <c r="AD40" i="18"/>
  <c r="AN80" i="18"/>
  <c r="T20" i="18"/>
  <c r="AX80" i="18"/>
  <c r="AD80" i="18"/>
  <c r="AN60" i="18"/>
  <c r="AD20" i="18"/>
  <c r="J100" i="18"/>
  <c r="T100" i="18"/>
  <c r="J80" i="18"/>
  <c r="J60" i="18"/>
  <c r="AX40" i="18"/>
  <c r="J40" i="18"/>
  <c r="AN40" i="18"/>
  <c r="T80" i="18"/>
  <c r="T60" i="18"/>
  <c r="T40" i="18"/>
  <c r="J20" i="18"/>
  <c r="AX100" i="18"/>
  <c r="AN20" i="18"/>
  <c r="BF52" i="18"/>
  <c r="AL92" i="18"/>
  <c r="BF92" i="18"/>
  <c r="AV32" i="18"/>
  <c r="BF32" i="18"/>
  <c r="AL72" i="18"/>
  <c r="AV72" i="18"/>
  <c r="AB52" i="18"/>
  <c r="BF72" i="18"/>
  <c r="BF12" i="18"/>
  <c r="AB92" i="18"/>
  <c r="AB32" i="18"/>
  <c r="AB72" i="18"/>
  <c r="AV92" i="18"/>
  <c r="AL32" i="18"/>
  <c r="AB12" i="18"/>
  <c r="R92" i="18"/>
  <c r="R32" i="18"/>
  <c r="AV52" i="18"/>
  <c r="AV12" i="18"/>
  <c r="R72" i="18"/>
  <c r="AL52" i="18"/>
  <c r="AL12" i="18"/>
  <c r="R52" i="18"/>
  <c r="BF8" i="18"/>
  <c r="AL48" i="18"/>
  <c r="BF48" i="18"/>
  <c r="AV88" i="18"/>
  <c r="AL28" i="18"/>
  <c r="AV8" i="18"/>
  <c r="AB8" i="18"/>
  <c r="AV48" i="18"/>
  <c r="R88" i="18"/>
  <c r="BF88" i="18"/>
  <c r="AB68" i="18"/>
  <c r="AB48" i="18"/>
  <c r="AB28" i="18"/>
  <c r="R48" i="18"/>
  <c r="AL88" i="18"/>
  <c r="BF68" i="18"/>
  <c r="BF28" i="18"/>
  <c r="AL8" i="18"/>
  <c r="R28" i="18"/>
  <c r="AL68" i="18"/>
  <c r="R68" i="18"/>
  <c r="AV68" i="18"/>
  <c r="AV28" i="18"/>
  <c r="AB88" i="18"/>
  <c r="BD22" i="18"/>
  <c r="AJ62" i="18"/>
  <c r="BD62" i="18"/>
  <c r="AJ102" i="18"/>
  <c r="AT102" i="18"/>
  <c r="AJ42" i="18"/>
  <c r="AT42" i="18"/>
  <c r="Z102" i="18"/>
  <c r="Z22" i="18"/>
  <c r="BD42" i="18"/>
  <c r="AT82" i="18"/>
  <c r="P102" i="18"/>
  <c r="Z82" i="18"/>
  <c r="Z62" i="18"/>
  <c r="Z42" i="18"/>
  <c r="P62" i="18"/>
  <c r="P82" i="18"/>
  <c r="AT62" i="18"/>
  <c r="AT22" i="18"/>
  <c r="AJ22" i="18"/>
  <c r="P42" i="18"/>
  <c r="BD102" i="18"/>
  <c r="BD82" i="18"/>
  <c r="AJ82" i="18"/>
  <c r="P22" i="18"/>
  <c r="AP60" i="18"/>
  <c r="AP100" i="18"/>
  <c r="AZ100" i="18"/>
  <c r="AP40" i="18"/>
  <c r="AP20" i="18"/>
  <c r="AZ20" i="18"/>
  <c r="AF60" i="18"/>
  <c r="AF40" i="18"/>
  <c r="AF20" i="18"/>
  <c r="AF100" i="18"/>
  <c r="AZ80" i="18"/>
  <c r="AZ60" i="18"/>
  <c r="AZ40" i="18"/>
  <c r="AF80" i="18"/>
  <c r="L40" i="18"/>
  <c r="AP80" i="18"/>
  <c r="V80" i="18"/>
  <c r="V60" i="18"/>
  <c r="V40" i="18"/>
  <c r="L20" i="18"/>
  <c r="V20" i="18"/>
  <c r="L100" i="18"/>
  <c r="L60" i="18"/>
  <c r="V100" i="18"/>
  <c r="L80" i="18"/>
  <c r="BD34" i="18"/>
  <c r="AJ74" i="18"/>
  <c r="BD74" i="18"/>
  <c r="AT14" i="18"/>
  <c r="BD14" i="18"/>
  <c r="AJ54" i="18"/>
  <c r="Z94" i="18"/>
  <c r="Z34" i="18"/>
  <c r="AJ94" i="18"/>
  <c r="BD54" i="18"/>
  <c r="AJ34" i="18"/>
  <c r="AJ14" i="18"/>
  <c r="Z14" i="18"/>
  <c r="AT74" i="18"/>
  <c r="AT54" i="18"/>
  <c r="AT34" i="18"/>
  <c r="P74" i="18"/>
  <c r="P54" i="18"/>
  <c r="BD94" i="18"/>
  <c r="Z74" i="18"/>
  <c r="Z54" i="18"/>
  <c r="P34" i="18"/>
  <c r="P94" i="18"/>
  <c r="AT94" i="18"/>
  <c r="AZ72" i="18"/>
  <c r="AP12" i="18"/>
  <c r="AP52" i="18"/>
  <c r="AZ52" i="18"/>
  <c r="AF92" i="18"/>
  <c r="AP32" i="18"/>
  <c r="AF12" i="18"/>
  <c r="V72" i="18"/>
  <c r="AZ32" i="18"/>
  <c r="AP72" i="18"/>
  <c r="V52" i="18"/>
  <c r="AZ12" i="18"/>
  <c r="L52" i="18"/>
  <c r="AP92" i="18"/>
  <c r="AF72" i="18"/>
  <c r="AF32" i="18"/>
  <c r="V92" i="18"/>
  <c r="V32" i="18"/>
  <c r="V12" i="18"/>
  <c r="L92" i="18"/>
  <c r="L32" i="18"/>
  <c r="AZ92" i="18"/>
  <c r="L72" i="18"/>
  <c r="AF52" i="18"/>
  <c r="BB60" i="18"/>
  <c r="AH100" i="18"/>
  <c r="BB100" i="18"/>
  <c r="AR40" i="18"/>
  <c r="BB40" i="18"/>
  <c r="AH80" i="18"/>
  <c r="BB80" i="18"/>
  <c r="X60" i="18"/>
  <c r="AR60" i="18"/>
  <c r="X40" i="18"/>
  <c r="N40" i="18"/>
  <c r="BB20" i="18"/>
  <c r="AR100" i="18"/>
  <c r="AH40" i="18"/>
  <c r="AR80" i="18"/>
  <c r="X80" i="18"/>
  <c r="N20" i="18"/>
  <c r="X20" i="18"/>
  <c r="N100" i="18"/>
  <c r="AR20" i="18"/>
  <c r="AH60" i="18"/>
  <c r="AH20" i="18"/>
  <c r="X100" i="18"/>
  <c r="N80" i="18"/>
  <c r="N60" i="18"/>
  <c r="BD56" i="18"/>
  <c r="AJ96" i="18"/>
  <c r="BD96" i="18"/>
  <c r="AT36" i="18"/>
  <c r="BD36" i="18"/>
  <c r="AJ76" i="18"/>
  <c r="Z56" i="18"/>
  <c r="AT76" i="18"/>
  <c r="Z36" i="18"/>
  <c r="AT56" i="18"/>
  <c r="AT16" i="18"/>
  <c r="P36" i="18"/>
  <c r="BD76" i="18"/>
  <c r="AJ56" i="18"/>
  <c r="AJ16" i="18"/>
  <c r="Z76" i="18"/>
  <c r="Z96" i="18"/>
  <c r="Z16" i="18"/>
  <c r="P96" i="18"/>
  <c r="BD16" i="18"/>
  <c r="P76" i="18"/>
  <c r="AT96" i="18"/>
  <c r="AJ36" i="18"/>
  <c r="P56" i="18"/>
  <c r="AN94" i="18"/>
  <c r="T14" i="18"/>
  <c r="T74" i="18"/>
  <c r="AD54" i="18"/>
  <c r="AD74" i="18"/>
  <c r="AX74" i="18"/>
  <c r="T34" i="18"/>
  <c r="AD94" i="18"/>
  <c r="AN74" i="18"/>
  <c r="AD34" i="18"/>
  <c r="AN54" i="18"/>
  <c r="AX14" i="18"/>
  <c r="J94" i="18"/>
  <c r="AD14" i="18"/>
  <c r="J74" i="18"/>
  <c r="AN14" i="18"/>
  <c r="AX94" i="18"/>
  <c r="J54" i="18"/>
  <c r="J34" i="18"/>
  <c r="AN34" i="18"/>
  <c r="AX54" i="18"/>
  <c r="T54" i="18"/>
  <c r="AX34" i="18"/>
  <c r="T94" i="18"/>
  <c r="AX76" i="18"/>
  <c r="AN16" i="18"/>
  <c r="AN56" i="18"/>
  <c r="AX56" i="18"/>
  <c r="AD96" i="18"/>
  <c r="AX16" i="18"/>
  <c r="T76" i="18"/>
  <c r="AN96" i="18"/>
  <c r="AD16" i="18"/>
  <c r="AN36" i="18"/>
  <c r="T56" i="18"/>
  <c r="AN76" i="18"/>
  <c r="J76" i="18"/>
  <c r="J56" i="18"/>
  <c r="AX96" i="18"/>
  <c r="AD56" i="18"/>
  <c r="J36" i="18"/>
  <c r="AX36" i="18"/>
  <c r="T36" i="18"/>
  <c r="T16" i="18"/>
  <c r="J96" i="18"/>
  <c r="T96" i="18"/>
  <c r="AD36" i="18"/>
  <c r="AD76" i="18"/>
  <c r="AR46" i="18"/>
  <c r="AR86" i="18"/>
  <c r="BB86" i="18"/>
  <c r="AR26" i="18"/>
  <c r="BB46" i="18"/>
  <c r="BB26" i="18"/>
  <c r="AH46" i="18"/>
  <c r="AH26" i="18"/>
  <c r="AR66" i="18"/>
  <c r="X86" i="18"/>
  <c r="AH66" i="18"/>
  <c r="AR6" i="18"/>
  <c r="N26" i="18"/>
  <c r="BB66" i="18"/>
  <c r="N66" i="18"/>
  <c r="AH86" i="18"/>
  <c r="X66" i="18"/>
  <c r="X46" i="18"/>
  <c r="X26" i="18"/>
  <c r="X6" i="18"/>
  <c r="N86" i="18"/>
  <c r="AH6" i="18"/>
  <c r="BB6" i="18"/>
  <c r="N46" i="18"/>
  <c r="AZ50" i="18"/>
  <c r="AF90" i="18"/>
  <c r="AZ90" i="18"/>
  <c r="AP30" i="18"/>
  <c r="AZ30" i="18"/>
  <c r="AF70" i="18"/>
  <c r="AZ10" i="18"/>
  <c r="V50" i="18"/>
  <c r="AP90" i="18"/>
  <c r="AF50" i="18"/>
  <c r="AF30" i="18"/>
  <c r="V30" i="18"/>
  <c r="AZ70" i="18"/>
  <c r="AF10" i="18"/>
  <c r="L30" i="18"/>
  <c r="L70" i="18"/>
  <c r="AP70" i="18"/>
  <c r="AP50" i="18"/>
  <c r="V90" i="18"/>
  <c r="V70" i="18"/>
  <c r="L50" i="18"/>
  <c r="AP10" i="18"/>
  <c r="V10" i="18"/>
  <c r="L90" i="18"/>
  <c r="AX42" i="18"/>
  <c r="AD82" i="18"/>
  <c r="AX82" i="18"/>
  <c r="AN22" i="18"/>
  <c r="AX22" i="18"/>
  <c r="AD62" i="18"/>
  <c r="AD102" i="18"/>
  <c r="T42" i="18"/>
  <c r="AN102" i="18"/>
  <c r="AN42" i="18"/>
  <c r="T22" i="18"/>
  <c r="AD42" i="18"/>
  <c r="J22" i="18"/>
  <c r="AN82" i="18"/>
  <c r="T82" i="18"/>
  <c r="T62" i="18"/>
  <c r="AN62" i="18"/>
  <c r="J102" i="18"/>
  <c r="J62" i="18"/>
  <c r="T102" i="18"/>
  <c r="J82" i="18"/>
  <c r="AX102" i="18"/>
  <c r="AD22" i="18"/>
  <c r="J42" i="18"/>
  <c r="AX62" i="18"/>
  <c r="BF30" i="18"/>
  <c r="AL70" i="18"/>
  <c r="BF70" i="18"/>
  <c r="AV10" i="18"/>
  <c r="BF10" i="18"/>
  <c r="AL50" i="18"/>
  <c r="BF50" i="18"/>
  <c r="AL90" i="18"/>
  <c r="AB30" i="18"/>
  <c r="AV30" i="18"/>
  <c r="AL10" i="18"/>
  <c r="BF90" i="18"/>
  <c r="AB10" i="18"/>
  <c r="R70" i="18"/>
  <c r="AV90" i="18"/>
  <c r="AV70" i="18"/>
  <c r="R50" i="18"/>
  <c r="AV50" i="18"/>
  <c r="AL30" i="18"/>
  <c r="AB90" i="18"/>
  <c r="AB70" i="18"/>
  <c r="AB50" i="18"/>
  <c r="R90" i="18"/>
  <c r="R30" i="18"/>
  <c r="AT100" i="18"/>
  <c r="AJ40" i="18"/>
  <c r="BD40" i="18"/>
  <c r="AT80" i="18"/>
  <c r="AJ20" i="18"/>
  <c r="BD20" i="18"/>
  <c r="AJ80" i="18"/>
  <c r="AJ60" i="18"/>
  <c r="P100" i="18"/>
  <c r="AJ100" i="18"/>
  <c r="BD60" i="18"/>
  <c r="P80" i="18"/>
  <c r="P40" i="18"/>
  <c r="Z80" i="18"/>
  <c r="P20" i="18"/>
  <c r="AT60" i="18"/>
  <c r="AT40" i="18"/>
  <c r="Z60" i="18"/>
  <c r="Z40" i="18"/>
  <c r="Z20" i="18"/>
  <c r="AT20" i="18"/>
  <c r="Z100" i="18"/>
  <c r="P60" i="18"/>
  <c r="BD100" i="18"/>
  <c r="BD80" i="18"/>
  <c r="AT78" i="18"/>
  <c r="AJ18" i="18"/>
  <c r="BD18" i="18"/>
  <c r="AT58" i="18"/>
  <c r="Z98" i="18"/>
  <c r="BD98" i="18"/>
  <c r="AT18" i="18"/>
  <c r="BD78" i="18"/>
  <c r="Z38" i="18"/>
  <c r="Z18" i="18"/>
  <c r="P98" i="18"/>
  <c r="P18" i="18"/>
  <c r="BD58" i="18"/>
  <c r="P78" i="18"/>
  <c r="P58" i="18"/>
  <c r="BD38" i="18"/>
  <c r="AJ78" i="18"/>
  <c r="AJ38" i="18"/>
  <c r="AT98" i="18"/>
  <c r="P38" i="18"/>
  <c r="AJ98" i="18"/>
  <c r="Z78" i="18"/>
  <c r="AT38" i="18"/>
  <c r="AJ58" i="18"/>
  <c r="Z58" i="18"/>
  <c r="AV74" i="18"/>
  <c r="AL14" i="18"/>
  <c r="BF14" i="18"/>
  <c r="AV54" i="18"/>
  <c r="AB94" i="18"/>
  <c r="BF74" i="18"/>
  <c r="BF54" i="18"/>
  <c r="AL74" i="18"/>
  <c r="AL54" i="18"/>
  <c r="AL34" i="18"/>
  <c r="AV94" i="18"/>
  <c r="AV34" i="18"/>
  <c r="R74" i="18"/>
  <c r="R54" i="18"/>
  <c r="BF94" i="18"/>
  <c r="AV14" i="18"/>
  <c r="AL94" i="18"/>
  <c r="AB74" i="18"/>
  <c r="AB54" i="18"/>
  <c r="R34" i="18"/>
  <c r="BF34" i="18"/>
  <c r="AB34" i="18"/>
  <c r="AB14" i="18"/>
  <c r="R94" i="18"/>
  <c r="L12" i="19"/>
  <c r="L18" i="18"/>
  <c r="R16" i="18"/>
  <c r="J18" i="18"/>
  <c r="N16" i="18"/>
  <c r="P16" i="18"/>
  <c r="L16" i="18"/>
  <c r="P82" i="1"/>
  <c r="AE82" i="1" s="1"/>
  <c r="AD82" i="1" s="1"/>
  <c r="Q82" i="1"/>
  <c r="R10" i="18"/>
  <c r="R14" i="18"/>
  <c r="L14" i="18"/>
  <c r="P12" i="18"/>
  <c r="N14" i="18"/>
  <c r="J16" i="18"/>
  <c r="R12" i="18"/>
  <c r="N12" i="18"/>
  <c r="J12" i="18"/>
  <c r="P10" i="18"/>
  <c r="P14" i="18"/>
  <c r="L12" i="18"/>
  <c r="J14" i="18"/>
  <c r="AF21" i="1"/>
  <c r="P124" i="1"/>
  <c r="AE124" i="1" s="1"/>
  <c r="AD124" i="1" s="1"/>
  <c r="Q124" i="1"/>
  <c r="P127" i="1"/>
  <c r="AE127" i="1" s="1"/>
  <c r="AD127" i="1" s="1"/>
  <c r="Q127" i="1"/>
  <c r="P133" i="1"/>
  <c r="AE133" i="1" s="1"/>
  <c r="AD133" i="1" s="1"/>
  <c r="Q133" i="1"/>
  <c r="P130" i="1"/>
  <c r="AE130" i="1" s="1"/>
  <c r="AD130" i="1" s="1"/>
  <c r="Q130" i="1"/>
  <c r="N6" i="18"/>
  <c r="L10" i="18"/>
  <c r="N10" i="18"/>
  <c r="L6" i="18"/>
  <c r="J8" i="18"/>
  <c r="R8" i="18"/>
  <c r="N8" i="18"/>
  <c r="J10" i="18"/>
  <c r="P8" i="18"/>
  <c r="L8" i="18"/>
  <c r="R6" i="18"/>
  <c r="P6" i="18"/>
  <c r="P19" i="1"/>
  <c r="Q19" i="1"/>
  <c r="P52" i="1"/>
  <c r="Q52" i="1"/>
  <c r="P46" i="1"/>
  <c r="AE46" i="1" s="1"/>
  <c r="AD46" i="1" s="1"/>
  <c r="Q46" i="1"/>
  <c r="P16" i="1"/>
  <c r="AE16" i="1" s="1"/>
  <c r="AD16" i="1" s="1"/>
  <c r="Q16" i="1"/>
  <c r="P79" i="1"/>
  <c r="Q79" i="1"/>
  <c r="P106" i="1"/>
  <c r="AE106" i="1" s="1"/>
  <c r="AD106" i="1" s="1"/>
  <c r="Q106" i="1"/>
  <c r="P58" i="1"/>
  <c r="AE58" i="1" s="1"/>
  <c r="AD58" i="1" s="1"/>
  <c r="Q58" i="1"/>
  <c r="P28" i="1"/>
  <c r="AE28" i="1" s="1"/>
  <c r="AD28" i="1" s="1"/>
  <c r="Q28" i="1"/>
  <c r="P40" i="1"/>
  <c r="AE40" i="1" s="1"/>
  <c r="AD40" i="1" s="1"/>
  <c r="Q40" i="1"/>
  <c r="P22" i="1"/>
  <c r="AE22" i="1" s="1"/>
  <c r="AD22" i="1" s="1"/>
  <c r="Q22" i="1"/>
  <c r="P109" i="1"/>
  <c r="AE109" i="1" s="1"/>
  <c r="AD109" i="1" s="1"/>
  <c r="Q109" i="1"/>
  <c r="P73" i="1"/>
  <c r="AE73" i="1" s="1"/>
  <c r="AD73" i="1" s="1"/>
  <c r="Q73" i="1"/>
  <c r="P34" i="1"/>
  <c r="AE34" i="1" s="1"/>
  <c r="AD34" i="1" s="1"/>
  <c r="Q34" i="1"/>
  <c r="P112" i="1"/>
  <c r="AE112" i="1" s="1"/>
  <c r="AD112" i="1" s="1"/>
  <c r="Q112" i="1"/>
  <c r="P88" i="1"/>
  <c r="AE88" i="1" s="1"/>
  <c r="AD88" i="1" s="1"/>
  <c r="Q88" i="1"/>
  <c r="P49" i="1"/>
  <c r="AE49" i="1" s="1"/>
  <c r="AD49" i="1" s="1"/>
  <c r="Q49" i="1"/>
  <c r="P13" i="1"/>
  <c r="Q13" i="1"/>
  <c r="P121" i="1"/>
  <c r="AE121" i="1" s="1"/>
  <c r="AD121" i="1" s="1"/>
  <c r="Q121" i="1"/>
  <c r="P43" i="1"/>
  <c r="AE43" i="1" s="1"/>
  <c r="AD43" i="1" s="1"/>
  <c r="Q43" i="1"/>
  <c r="P115" i="1"/>
  <c r="AE115" i="1" s="1"/>
  <c r="AD115" i="1" s="1"/>
  <c r="Q115" i="1"/>
  <c r="P100" i="1"/>
  <c r="AE100" i="1" s="1"/>
  <c r="AD100" i="1" s="1"/>
  <c r="Q100" i="1"/>
  <c r="P61" i="1"/>
  <c r="AE61" i="1" s="1"/>
  <c r="AD61" i="1" s="1"/>
  <c r="Q61" i="1"/>
  <c r="P64" i="1"/>
  <c r="AE64" i="1" s="1"/>
  <c r="AD64" i="1" s="1"/>
  <c r="Q64" i="1"/>
  <c r="P55" i="1"/>
  <c r="AE55" i="1" s="1"/>
  <c r="AD55" i="1" s="1"/>
  <c r="Q55" i="1"/>
  <c r="P118" i="1"/>
  <c r="AE118" i="1" s="1"/>
  <c r="AD118" i="1" s="1"/>
  <c r="Q118" i="1"/>
  <c r="P76" i="1"/>
  <c r="AE76" i="1" s="1"/>
  <c r="AD76" i="1" s="1"/>
  <c r="Q76" i="1"/>
  <c r="P70" i="1"/>
  <c r="AE70" i="1" s="1"/>
  <c r="AD70" i="1" s="1"/>
  <c r="Q70" i="1"/>
  <c r="P25" i="1"/>
  <c r="AE25" i="1" s="1"/>
  <c r="AD25" i="1" s="1"/>
  <c r="Q25" i="1"/>
  <c r="P103" i="1"/>
  <c r="AE103" i="1" s="1"/>
  <c r="AD103" i="1" s="1"/>
  <c r="Q103" i="1"/>
  <c r="P91" i="1"/>
  <c r="AE91" i="1" s="1"/>
  <c r="AD91" i="1" s="1"/>
  <c r="Q91" i="1"/>
  <c r="P31" i="1"/>
  <c r="AE31" i="1" s="1"/>
  <c r="AD31" i="1" s="1"/>
  <c r="Q31" i="1"/>
  <c r="P94" i="1"/>
  <c r="Q94" i="1"/>
  <c r="P85" i="1"/>
  <c r="AE85" i="1" s="1"/>
  <c r="AD85" i="1" s="1"/>
  <c r="Q85" i="1"/>
  <c r="P37" i="1"/>
  <c r="AE37" i="1" s="1"/>
  <c r="AD37" i="1" s="1"/>
  <c r="Q37" i="1"/>
  <c r="P10" i="1"/>
  <c r="Q10" i="1"/>
  <c r="V185" i="19" l="1"/>
  <c r="V135" i="19"/>
  <c r="S135" i="19"/>
  <c r="V35" i="19"/>
  <c r="S35" i="19"/>
  <c r="S185" i="19"/>
  <c r="V85" i="19"/>
  <c r="P185" i="19"/>
  <c r="S85" i="19"/>
  <c r="P135" i="19"/>
  <c r="J85" i="19"/>
  <c r="P235" i="19"/>
  <c r="M135" i="19"/>
  <c r="S235" i="19"/>
  <c r="P35" i="19"/>
  <c r="J185" i="19"/>
  <c r="V235" i="19"/>
  <c r="P85" i="19"/>
  <c r="M35" i="19"/>
  <c r="M185" i="19"/>
  <c r="J135" i="19"/>
  <c r="J235" i="19"/>
  <c r="M85" i="19"/>
  <c r="M235" i="19"/>
  <c r="V211" i="19"/>
  <c r="V11" i="19"/>
  <c r="V161" i="19"/>
  <c r="S11" i="19"/>
  <c r="S161" i="19"/>
  <c r="V61" i="19"/>
  <c r="P161" i="19"/>
  <c r="S61" i="19"/>
  <c r="S211" i="19"/>
  <c r="V111" i="19"/>
  <c r="P211" i="19"/>
  <c r="P11" i="19"/>
  <c r="J161" i="19"/>
  <c r="M11" i="19"/>
  <c r="M161" i="19"/>
  <c r="S111" i="19"/>
  <c r="P61" i="19"/>
  <c r="J111" i="19"/>
  <c r="M61" i="19"/>
  <c r="P111" i="19"/>
  <c r="M211" i="19"/>
  <c r="J211" i="19"/>
  <c r="J61" i="19"/>
  <c r="M111" i="19"/>
  <c r="S192" i="19"/>
  <c r="V92" i="19"/>
  <c r="P192" i="19"/>
  <c r="S92" i="19"/>
  <c r="S242" i="19"/>
  <c r="P92" i="19"/>
  <c r="V192" i="19"/>
  <c r="V142" i="19"/>
  <c r="P242" i="19"/>
  <c r="S142" i="19"/>
  <c r="V42" i="19"/>
  <c r="P142" i="19"/>
  <c r="M192" i="19"/>
  <c r="J142" i="19"/>
  <c r="M92" i="19"/>
  <c r="J242" i="19"/>
  <c r="M242" i="19"/>
  <c r="V242" i="19"/>
  <c r="J92" i="19"/>
  <c r="S42" i="19"/>
  <c r="M142" i="19"/>
  <c r="P42" i="19"/>
  <c r="J192" i="19"/>
  <c r="J42" i="19"/>
  <c r="M42" i="19"/>
  <c r="V177" i="19"/>
  <c r="V227" i="19"/>
  <c r="V127" i="19"/>
  <c r="S127" i="19"/>
  <c r="V27" i="19"/>
  <c r="S27" i="19"/>
  <c r="S177" i="19"/>
  <c r="V77" i="19"/>
  <c r="P177" i="19"/>
  <c r="S77" i="19"/>
  <c r="P77" i="19"/>
  <c r="J77" i="19"/>
  <c r="S227" i="19"/>
  <c r="P227" i="19"/>
  <c r="M127" i="19"/>
  <c r="P27" i="19"/>
  <c r="J177" i="19"/>
  <c r="M27" i="19"/>
  <c r="P127" i="19"/>
  <c r="M177" i="19"/>
  <c r="J127" i="19"/>
  <c r="M77" i="19"/>
  <c r="M227" i="19"/>
  <c r="J227" i="19"/>
  <c r="V183" i="19"/>
  <c r="V233" i="19"/>
  <c r="V33" i="19"/>
  <c r="S33" i="19"/>
  <c r="S183" i="19"/>
  <c r="V83" i="19"/>
  <c r="P183" i="19"/>
  <c r="S83" i="19"/>
  <c r="S233" i="19"/>
  <c r="V133" i="19"/>
  <c r="P233" i="19"/>
  <c r="S133" i="19"/>
  <c r="P33" i="19"/>
  <c r="J183" i="19"/>
  <c r="M33" i="19"/>
  <c r="P83" i="19"/>
  <c r="M183" i="19"/>
  <c r="P133" i="19"/>
  <c r="J133" i="19"/>
  <c r="M83" i="19"/>
  <c r="M233" i="19"/>
  <c r="J233" i="19"/>
  <c r="J83" i="19"/>
  <c r="M133" i="19"/>
  <c r="V240" i="19"/>
  <c r="S90" i="19"/>
  <c r="S240" i="19"/>
  <c r="P90" i="19"/>
  <c r="V190" i="19"/>
  <c r="V140" i="19"/>
  <c r="P240" i="19"/>
  <c r="S140" i="19"/>
  <c r="V40" i="19"/>
  <c r="P140" i="19"/>
  <c r="S40" i="19"/>
  <c r="S190" i="19"/>
  <c r="M90" i="19"/>
  <c r="J40" i="19"/>
  <c r="P190" i="19"/>
  <c r="M240" i="19"/>
  <c r="J90" i="19"/>
  <c r="M140" i="19"/>
  <c r="V90" i="19"/>
  <c r="P40" i="19"/>
  <c r="J190" i="19"/>
  <c r="M40" i="19"/>
  <c r="M190" i="19"/>
  <c r="J140" i="19"/>
  <c r="J240" i="19"/>
  <c r="S210" i="19"/>
  <c r="V110" i="19"/>
  <c r="P210" i="19"/>
  <c r="V210" i="19"/>
  <c r="S110" i="19"/>
  <c r="V10" i="19"/>
  <c r="P110" i="19"/>
  <c r="V160" i="19"/>
  <c r="S10" i="19"/>
  <c r="S160" i="19"/>
  <c r="V60" i="19"/>
  <c r="P160" i="19"/>
  <c r="M210" i="19"/>
  <c r="J210" i="19"/>
  <c r="J60" i="19"/>
  <c r="S60" i="19"/>
  <c r="M110" i="19"/>
  <c r="P10" i="19"/>
  <c r="J160" i="19"/>
  <c r="M10" i="19"/>
  <c r="M160" i="19"/>
  <c r="M60" i="19"/>
  <c r="J110" i="19"/>
  <c r="P60" i="19"/>
  <c r="S176" i="19"/>
  <c r="S26" i="19"/>
  <c r="J226" i="19"/>
  <c r="P226" i="19"/>
  <c r="P76" i="19"/>
  <c r="V76" i="19"/>
  <c r="S226" i="19"/>
  <c r="P26" i="19"/>
  <c r="M126" i="19"/>
  <c r="V226" i="19"/>
  <c r="M76" i="19"/>
  <c r="J126" i="19"/>
  <c r="V26" i="19"/>
  <c r="J76" i="19"/>
  <c r="J176" i="19"/>
  <c r="S126" i="19"/>
  <c r="S76" i="19"/>
  <c r="M26" i="19"/>
  <c r="V126" i="19"/>
  <c r="P176" i="19"/>
  <c r="P126" i="19"/>
  <c r="V176" i="19"/>
  <c r="M226" i="19"/>
  <c r="M176" i="19"/>
  <c r="V243" i="19"/>
  <c r="V193" i="19"/>
  <c r="S243" i="19"/>
  <c r="V143" i="19"/>
  <c r="P243" i="19"/>
  <c r="S143" i="19"/>
  <c r="V43" i="19"/>
  <c r="P143" i="19"/>
  <c r="S43" i="19"/>
  <c r="S193" i="19"/>
  <c r="V93" i="19"/>
  <c r="P193" i="19"/>
  <c r="M243" i="19"/>
  <c r="J243" i="19"/>
  <c r="J93" i="19"/>
  <c r="P93" i="19"/>
  <c r="M143" i="19"/>
  <c r="P43" i="19"/>
  <c r="J193" i="19"/>
  <c r="M43" i="19"/>
  <c r="M193" i="19"/>
  <c r="J43" i="19"/>
  <c r="M93" i="19"/>
  <c r="J143" i="19"/>
  <c r="S93" i="19"/>
  <c r="V113" i="19"/>
  <c r="S113" i="19"/>
  <c r="V13" i="19"/>
  <c r="V213" i="19"/>
  <c r="V163" i="19"/>
  <c r="S13" i="19"/>
  <c r="S163" i="19"/>
  <c r="V63" i="19"/>
  <c r="P163" i="19"/>
  <c r="S63" i="19"/>
  <c r="P213" i="19"/>
  <c r="J63" i="19"/>
  <c r="M113" i="19"/>
  <c r="P13" i="19"/>
  <c r="J163" i="19"/>
  <c r="M13" i="19"/>
  <c r="M163" i="19"/>
  <c r="P63" i="19"/>
  <c r="J113" i="19"/>
  <c r="S213" i="19"/>
  <c r="M63" i="19"/>
  <c r="P113" i="19"/>
  <c r="M213" i="19"/>
  <c r="J213" i="19"/>
  <c r="S141" i="19"/>
  <c r="V41" i="19"/>
  <c r="P141" i="19"/>
  <c r="V241" i="19"/>
  <c r="S41" i="19"/>
  <c r="S191" i="19"/>
  <c r="V91" i="19"/>
  <c r="P191" i="19"/>
  <c r="S91" i="19"/>
  <c r="S241" i="19"/>
  <c r="M141" i="19"/>
  <c r="V191" i="19"/>
  <c r="P41" i="19"/>
  <c r="M41" i="19"/>
  <c r="M191" i="19"/>
  <c r="P241" i="19"/>
  <c r="J141" i="19"/>
  <c r="P91" i="19"/>
  <c r="M91" i="19"/>
  <c r="V141" i="19"/>
  <c r="J41" i="19"/>
  <c r="J91" i="19"/>
  <c r="J191" i="19"/>
  <c r="J241" i="19"/>
  <c r="M241" i="19"/>
  <c r="V171" i="19"/>
  <c r="V121" i="19"/>
  <c r="S121" i="19"/>
  <c r="V21" i="19"/>
  <c r="S21" i="19"/>
  <c r="S171" i="19"/>
  <c r="V71" i="19"/>
  <c r="P171" i="19"/>
  <c r="V221" i="19"/>
  <c r="S71" i="19"/>
  <c r="J71" i="19"/>
  <c r="M121" i="19"/>
  <c r="P121" i="19"/>
  <c r="P21" i="19"/>
  <c r="J171" i="19"/>
  <c r="M21" i="19"/>
  <c r="M171" i="19"/>
  <c r="P71" i="19"/>
  <c r="S221" i="19"/>
  <c r="J121" i="19"/>
  <c r="P221" i="19"/>
  <c r="M221" i="19"/>
  <c r="J221" i="19"/>
  <c r="M71" i="19"/>
  <c r="S218" i="19"/>
  <c r="V118" i="19"/>
  <c r="P218" i="19"/>
  <c r="S118" i="19"/>
  <c r="V18" i="19"/>
  <c r="P118" i="19"/>
  <c r="V168" i="19"/>
  <c r="S18" i="19"/>
  <c r="V218" i="19"/>
  <c r="S168" i="19"/>
  <c r="V68" i="19"/>
  <c r="P168" i="19"/>
  <c r="S68" i="19"/>
  <c r="M218" i="19"/>
  <c r="J218" i="19"/>
  <c r="J68" i="19"/>
  <c r="M118" i="19"/>
  <c r="J168" i="19"/>
  <c r="P18" i="19"/>
  <c r="M18" i="19"/>
  <c r="M168" i="19"/>
  <c r="P68" i="19"/>
  <c r="M68" i="19"/>
  <c r="J118" i="19"/>
  <c r="S130" i="19"/>
  <c r="V230" i="19"/>
  <c r="V30" i="19"/>
  <c r="P130" i="19"/>
  <c r="S30" i="19"/>
  <c r="S180" i="19"/>
  <c r="V180" i="19"/>
  <c r="V80" i="19"/>
  <c r="P180" i="19"/>
  <c r="S80" i="19"/>
  <c r="S230" i="19"/>
  <c r="M130" i="19"/>
  <c r="P80" i="19"/>
  <c r="P30" i="19"/>
  <c r="P230" i="19"/>
  <c r="M30" i="19"/>
  <c r="V130" i="19"/>
  <c r="M180" i="19"/>
  <c r="J130" i="19"/>
  <c r="M80" i="19"/>
  <c r="J80" i="19"/>
  <c r="J180" i="19"/>
  <c r="M230" i="19"/>
  <c r="J230" i="19"/>
  <c r="V175" i="19"/>
  <c r="S175" i="19"/>
  <c r="V75" i="19"/>
  <c r="P175" i="19"/>
  <c r="S75" i="19"/>
  <c r="S225" i="19"/>
  <c r="V225" i="19"/>
  <c r="V125" i="19"/>
  <c r="P225" i="19"/>
  <c r="S125" i="19"/>
  <c r="V25" i="19"/>
  <c r="P125" i="19"/>
  <c r="M175" i="19"/>
  <c r="M75" i="19"/>
  <c r="M225" i="19"/>
  <c r="J225" i="19"/>
  <c r="P75" i="19"/>
  <c r="J75" i="19"/>
  <c r="S25" i="19"/>
  <c r="M125" i="19"/>
  <c r="M25" i="19"/>
  <c r="P25" i="19"/>
  <c r="J125" i="19"/>
  <c r="J175" i="19"/>
  <c r="V214" i="19"/>
  <c r="V164" i="19"/>
  <c r="S14" i="19"/>
  <c r="S164" i="19"/>
  <c r="V64" i="19"/>
  <c r="S64" i="19"/>
  <c r="S214" i="19"/>
  <c r="P64" i="19"/>
  <c r="V114" i="19"/>
  <c r="P214" i="19"/>
  <c r="S114" i="19"/>
  <c r="M14" i="19"/>
  <c r="M164" i="19"/>
  <c r="J114" i="19"/>
  <c r="M64" i="19"/>
  <c r="P114" i="19"/>
  <c r="M214" i="19"/>
  <c r="J214" i="19"/>
  <c r="J64" i="19"/>
  <c r="J164" i="19"/>
  <c r="P14" i="19"/>
  <c r="M114" i="19"/>
  <c r="P164" i="19"/>
  <c r="V14" i="19"/>
  <c r="V245" i="19"/>
  <c r="V95" i="19"/>
  <c r="S95" i="19"/>
  <c r="S245" i="19"/>
  <c r="V145" i="19"/>
  <c r="P245" i="19"/>
  <c r="S145" i="19"/>
  <c r="V195" i="19"/>
  <c r="V45" i="19"/>
  <c r="P145" i="19"/>
  <c r="S45" i="19"/>
  <c r="J145" i="19"/>
  <c r="M95" i="19"/>
  <c r="S195" i="19"/>
  <c r="M245" i="19"/>
  <c r="J245" i="19"/>
  <c r="P95" i="19"/>
  <c r="J95" i="19"/>
  <c r="J45" i="19"/>
  <c r="M145" i="19"/>
  <c r="P45" i="19"/>
  <c r="J195" i="19"/>
  <c r="P195" i="19"/>
  <c r="M195" i="19"/>
  <c r="M45" i="19"/>
  <c r="V239" i="19"/>
  <c r="S39" i="19"/>
  <c r="S189" i="19"/>
  <c r="V89" i="19"/>
  <c r="S89" i="19"/>
  <c r="S239" i="19"/>
  <c r="P89" i="19"/>
  <c r="V189" i="19"/>
  <c r="V139" i="19"/>
  <c r="P239" i="19"/>
  <c r="S139" i="19"/>
  <c r="M39" i="19"/>
  <c r="M189" i="19"/>
  <c r="J139" i="19"/>
  <c r="M89" i="19"/>
  <c r="V39" i="19"/>
  <c r="P189" i="19"/>
  <c r="M239" i="19"/>
  <c r="J239" i="19"/>
  <c r="P139" i="19"/>
  <c r="J89" i="19"/>
  <c r="M139" i="19"/>
  <c r="J189" i="19"/>
  <c r="J39" i="19"/>
  <c r="P39" i="19"/>
  <c r="V217" i="19"/>
  <c r="S167" i="19"/>
  <c r="V67" i="19"/>
  <c r="P167" i="19"/>
  <c r="S67" i="19"/>
  <c r="S217" i="19"/>
  <c r="V117" i="19"/>
  <c r="P217" i="19"/>
  <c r="S117" i="19"/>
  <c r="V17" i="19"/>
  <c r="M167" i="19"/>
  <c r="V167" i="19"/>
  <c r="P67" i="19"/>
  <c r="M67" i="19"/>
  <c r="M217" i="19"/>
  <c r="J217" i="19"/>
  <c r="J67" i="19"/>
  <c r="P117" i="19"/>
  <c r="M117" i="19"/>
  <c r="J117" i="19"/>
  <c r="J167" i="19"/>
  <c r="M17" i="19"/>
  <c r="P17" i="19"/>
  <c r="S17" i="19"/>
  <c r="V219" i="19"/>
  <c r="V19" i="19"/>
  <c r="V169" i="19"/>
  <c r="S19" i="19"/>
  <c r="S169" i="19"/>
  <c r="V69" i="19"/>
  <c r="P169" i="19"/>
  <c r="S69" i="19"/>
  <c r="S219" i="19"/>
  <c r="V119" i="19"/>
  <c r="P219" i="19"/>
  <c r="P119" i="19"/>
  <c r="P19" i="19"/>
  <c r="J169" i="19"/>
  <c r="M19" i="19"/>
  <c r="S119" i="19"/>
  <c r="M169" i="19"/>
  <c r="J119" i="19"/>
  <c r="P69" i="19"/>
  <c r="M69" i="19"/>
  <c r="M219" i="19"/>
  <c r="J219" i="19"/>
  <c r="J69" i="19"/>
  <c r="M119" i="19"/>
  <c r="V237" i="19"/>
  <c r="S87" i="19"/>
  <c r="S237" i="19"/>
  <c r="P87" i="19"/>
  <c r="V187" i="19"/>
  <c r="V137" i="19"/>
  <c r="P237" i="19"/>
  <c r="S137" i="19"/>
  <c r="V37" i="19"/>
  <c r="P137" i="19"/>
  <c r="S37" i="19"/>
  <c r="S187" i="19"/>
  <c r="M87" i="19"/>
  <c r="P187" i="19"/>
  <c r="M237" i="19"/>
  <c r="J87" i="19"/>
  <c r="V87" i="19"/>
  <c r="M137" i="19"/>
  <c r="P37" i="19"/>
  <c r="J187" i="19"/>
  <c r="M37" i="19"/>
  <c r="M187" i="19"/>
  <c r="J137" i="19"/>
  <c r="J237" i="19"/>
  <c r="V232" i="19"/>
  <c r="V182" i="19"/>
  <c r="S232" i="19"/>
  <c r="V132" i="19"/>
  <c r="P232" i="19"/>
  <c r="S132" i="19"/>
  <c r="V32" i="19"/>
  <c r="P132" i="19"/>
  <c r="S32" i="19"/>
  <c r="S182" i="19"/>
  <c r="V82" i="19"/>
  <c r="P182" i="19"/>
  <c r="M232" i="19"/>
  <c r="J232" i="19"/>
  <c r="J82" i="19"/>
  <c r="M132" i="19"/>
  <c r="P32" i="19"/>
  <c r="J182" i="19"/>
  <c r="P82" i="19"/>
  <c r="M32" i="19"/>
  <c r="M182" i="19"/>
  <c r="S82" i="19"/>
  <c r="J132" i="19"/>
  <c r="M82" i="19"/>
  <c r="V220" i="19"/>
  <c r="V70" i="19"/>
  <c r="S70" i="19"/>
  <c r="S220" i="19"/>
  <c r="V120" i="19"/>
  <c r="P220" i="19"/>
  <c r="S120" i="19"/>
  <c r="V20" i="19"/>
  <c r="V170" i="19"/>
  <c r="S20" i="19"/>
  <c r="J120" i="19"/>
  <c r="M70" i="19"/>
  <c r="P170" i="19"/>
  <c r="P70" i="19"/>
  <c r="M220" i="19"/>
  <c r="J220" i="19"/>
  <c r="J70" i="19"/>
  <c r="S170" i="19"/>
  <c r="M120" i="19"/>
  <c r="P120" i="19"/>
  <c r="P20" i="19"/>
  <c r="J170" i="19"/>
  <c r="M20" i="19"/>
  <c r="M170" i="19"/>
  <c r="V234" i="19"/>
  <c r="V84" i="19"/>
  <c r="S84" i="19"/>
  <c r="V184" i="19"/>
  <c r="S234" i="19"/>
  <c r="V134" i="19"/>
  <c r="P234" i="19"/>
  <c r="S134" i="19"/>
  <c r="V34" i="19"/>
  <c r="S34" i="19"/>
  <c r="J134" i="19"/>
  <c r="S184" i="19"/>
  <c r="P184" i="19"/>
  <c r="M84" i="19"/>
  <c r="M234" i="19"/>
  <c r="J234" i="19"/>
  <c r="P134" i="19"/>
  <c r="J84" i="19"/>
  <c r="M134" i="19"/>
  <c r="P84" i="19"/>
  <c r="P34" i="19"/>
  <c r="J184" i="19"/>
  <c r="M184" i="19"/>
  <c r="M34" i="19"/>
  <c r="S116" i="19"/>
  <c r="V16" i="19"/>
  <c r="P116" i="19"/>
  <c r="V166" i="19"/>
  <c r="S16" i="19"/>
  <c r="V216" i="19"/>
  <c r="S166" i="19"/>
  <c r="V66" i="19"/>
  <c r="P166" i="19"/>
  <c r="S66" i="19"/>
  <c r="S216" i="19"/>
  <c r="V116" i="19"/>
  <c r="M116" i="19"/>
  <c r="P216" i="19"/>
  <c r="P16" i="19"/>
  <c r="M16" i="19"/>
  <c r="M166" i="19"/>
  <c r="J116" i="19"/>
  <c r="P66" i="19"/>
  <c r="M66" i="19"/>
  <c r="M216" i="19"/>
  <c r="J166" i="19"/>
  <c r="J216" i="19"/>
  <c r="J66" i="19"/>
  <c r="V228" i="19"/>
  <c r="S28" i="19"/>
  <c r="S178" i="19"/>
  <c r="V178" i="19"/>
  <c r="V78" i="19"/>
  <c r="S78" i="19"/>
  <c r="S228" i="19"/>
  <c r="P78" i="19"/>
  <c r="V128" i="19"/>
  <c r="P228" i="19"/>
  <c r="S128" i="19"/>
  <c r="M28" i="19"/>
  <c r="P128" i="19"/>
  <c r="M178" i="19"/>
  <c r="V28" i="19"/>
  <c r="J128" i="19"/>
  <c r="M78" i="19"/>
  <c r="M228" i="19"/>
  <c r="J228" i="19"/>
  <c r="J78" i="19"/>
  <c r="J178" i="19"/>
  <c r="M128" i="19"/>
  <c r="P178" i="19"/>
  <c r="P28" i="19"/>
  <c r="S124" i="19"/>
  <c r="V24" i="19"/>
  <c r="P124" i="19"/>
  <c r="S24" i="19"/>
  <c r="V174" i="19"/>
  <c r="S174" i="19"/>
  <c r="V74" i="19"/>
  <c r="P174" i="19"/>
  <c r="S74" i="19"/>
  <c r="S224" i="19"/>
  <c r="V224" i="19"/>
  <c r="V124" i="19"/>
  <c r="M124" i="19"/>
  <c r="P24" i="19"/>
  <c r="M24" i="19"/>
  <c r="M174" i="19"/>
  <c r="J124" i="19"/>
  <c r="M74" i="19"/>
  <c r="P224" i="19"/>
  <c r="M224" i="19"/>
  <c r="J174" i="19"/>
  <c r="J224" i="19"/>
  <c r="P74" i="19"/>
  <c r="J74" i="19"/>
  <c r="V194" i="19"/>
  <c r="V244" i="19"/>
  <c r="V44" i="19"/>
  <c r="S44" i="19"/>
  <c r="S194" i="19"/>
  <c r="V94" i="19"/>
  <c r="P194" i="19"/>
  <c r="S94" i="19"/>
  <c r="S244" i="19"/>
  <c r="V144" i="19"/>
  <c r="P244" i="19"/>
  <c r="P44" i="19"/>
  <c r="J194" i="19"/>
  <c r="S144" i="19"/>
  <c r="M44" i="19"/>
  <c r="M194" i="19"/>
  <c r="P94" i="19"/>
  <c r="P144" i="19"/>
  <c r="J144" i="19"/>
  <c r="M94" i="19"/>
  <c r="J44" i="19"/>
  <c r="M244" i="19"/>
  <c r="J244" i="19"/>
  <c r="J94" i="19"/>
  <c r="M144" i="19"/>
  <c r="V222" i="19"/>
  <c r="S22" i="19"/>
  <c r="V172" i="19"/>
  <c r="S172" i="19"/>
  <c r="V72" i="19"/>
  <c r="S72" i="19"/>
  <c r="S222" i="19"/>
  <c r="P72" i="19"/>
  <c r="V122" i="19"/>
  <c r="P222" i="19"/>
  <c r="S122" i="19"/>
  <c r="M22" i="19"/>
  <c r="M172" i="19"/>
  <c r="J122" i="19"/>
  <c r="M72" i="19"/>
  <c r="P172" i="19"/>
  <c r="M222" i="19"/>
  <c r="J222" i="19"/>
  <c r="V22" i="19"/>
  <c r="J72" i="19"/>
  <c r="M122" i="19"/>
  <c r="P22" i="19"/>
  <c r="P122" i="19"/>
  <c r="J172" i="19"/>
  <c r="V229" i="19"/>
  <c r="S79" i="19"/>
  <c r="S229" i="19"/>
  <c r="P79" i="19"/>
  <c r="V129" i="19"/>
  <c r="P229" i="19"/>
  <c r="S129" i="19"/>
  <c r="V29" i="19"/>
  <c r="P129" i="19"/>
  <c r="S29" i="19"/>
  <c r="S179" i="19"/>
  <c r="M79" i="19"/>
  <c r="V179" i="19"/>
  <c r="M229" i="19"/>
  <c r="J79" i="19"/>
  <c r="V79" i="19"/>
  <c r="M129" i="19"/>
  <c r="P179" i="19"/>
  <c r="P29" i="19"/>
  <c r="J179" i="19"/>
  <c r="M29" i="19"/>
  <c r="M179" i="19"/>
  <c r="J229" i="19"/>
  <c r="J129" i="19"/>
  <c r="S65" i="19"/>
  <c r="S215" i="19"/>
  <c r="V115" i="19"/>
  <c r="P215" i="19"/>
  <c r="S115" i="19"/>
  <c r="V15" i="19"/>
  <c r="P115" i="19"/>
  <c r="V165" i="19"/>
  <c r="S15" i="19"/>
  <c r="V215" i="19"/>
  <c r="S165" i="19"/>
  <c r="V65" i="19"/>
  <c r="P65" i="19"/>
  <c r="M65" i="19"/>
  <c r="M215" i="19"/>
  <c r="J65" i="19"/>
  <c r="M115" i="19"/>
  <c r="P165" i="19"/>
  <c r="P15" i="19"/>
  <c r="J165" i="19"/>
  <c r="M15" i="19"/>
  <c r="J215" i="19"/>
  <c r="M165" i="19"/>
  <c r="J115"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2" i="1"/>
  <c r="AE79" i="1"/>
  <c r="AE81" i="1"/>
  <c r="AD81" i="1" s="1"/>
  <c r="AF124" i="1"/>
  <c r="AF130" i="1"/>
  <c r="AF127" i="1"/>
  <c r="AF133" i="1"/>
  <c r="AF31" i="1"/>
  <c r="AF55" i="1"/>
  <c r="AF103" i="1"/>
  <c r="AE15" i="1"/>
  <c r="AD15" i="1" s="1"/>
  <c r="AE14" i="1"/>
  <c r="AD14" i="1" s="1"/>
  <c r="AE13" i="1"/>
  <c r="AD13" i="1" s="1"/>
  <c r="AF22" i="1"/>
  <c r="AF28" i="1"/>
  <c r="AF34" i="1"/>
  <c r="AF91" i="1"/>
  <c r="AF64" i="1"/>
  <c r="AF58" i="1"/>
  <c r="AF106" i="1"/>
  <c r="AF25" i="1"/>
  <c r="AF100" i="1"/>
  <c r="AF115" i="1"/>
  <c r="AF49" i="1"/>
  <c r="AF40" i="1"/>
  <c r="AF16" i="1"/>
  <c r="AF85" i="1"/>
  <c r="AF76" i="1"/>
  <c r="AE12" i="1"/>
  <c r="AD12" i="1" s="1"/>
  <c r="AE11" i="1"/>
  <c r="AD11" i="1" s="1"/>
  <c r="AE10" i="1"/>
  <c r="AD10" i="1" s="1"/>
  <c r="AF37" i="1"/>
  <c r="AF118" i="1"/>
  <c r="AF121" i="1"/>
  <c r="AF61" i="1"/>
  <c r="AF73" i="1"/>
  <c r="AF109" i="1"/>
  <c r="AF70" i="1"/>
  <c r="AF43" i="1"/>
  <c r="AF88" i="1"/>
  <c r="AF112" i="1"/>
  <c r="AF46" i="1"/>
  <c r="W10" i="1"/>
  <c r="AA10" i="1" s="1"/>
  <c r="AA11" i="1" s="1"/>
  <c r="W13" i="1"/>
  <c r="AA13" i="1" s="1"/>
  <c r="AA14" i="1" s="1"/>
  <c r="X231" i="19" l="1"/>
  <c r="U81" i="19"/>
  <c r="U231" i="19"/>
  <c r="R81" i="19"/>
  <c r="X131" i="19"/>
  <c r="R231" i="19"/>
  <c r="U131" i="19"/>
  <c r="X31" i="19"/>
  <c r="R131" i="19"/>
  <c r="U31" i="19"/>
  <c r="U181" i="19"/>
  <c r="O81" i="19"/>
  <c r="O231" i="19"/>
  <c r="L81" i="19"/>
  <c r="O131" i="19"/>
  <c r="X181" i="19"/>
  <c r="R31" i="19"/>
  <c r="L181" i="19"/>
  <c r="X81" i="19"/>
  <c r="O31" i="19"/>
  <c r="R181" i="19"/>
  <c r="L131" i="19"/>
  <c r="L231" i="19"/>
  <c r="O181" i="19"/>
  <c r="L31" i="19"/>
  <c r="AA15" i="1"/>
  <c r="AC14" i="1"/>
  <c r="AB14" i="1"/>
  <c r="W208" i="19" s="1"/>
  <c r="AA12" i="1"/>
  <c r="AB11" i="1"/>
  <c r="W207" i="19" s="1"/>
  <c r="AC11" i="1"/>
  <c r="AF81" i="1"/>
  <c r="AD79" i="1"/>
  <c r="AE80" i="1"/>
  <c r="AD80" i="1" s="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W231" i="19"/>
  <c r="W181" i="19"/>
  <c r="W81" i="19"/>
  <c r="T81" i="19"/>
  <c r="T231" i="19"/>
  <c r="W131" i="19"/>
  <c r="Q231" i="19"/>
  <c r="T131" i="19"/>
  <c r="W31" i="19"/>
  <c r="T31" i="19"/>
  <c r="K131" i="19"/>
  <c r="Q131" i="19"/>
  <c r="N81" i="19"/>
  <c r="N231" i="19"/>
  <c r="K231" i="19"/>
  <c r="K81" i="19"/>
  <c r="N131" i="19"/>
  <c r="Q81" i="19"/>
  <c r="Q31" i="19"/>
  <c r="K181" i="19"/>
  <c r="T181" i="19"/>
  <c r="Q181" i="19"/>
  <c r="N31" i="19"/>
  <c r="N181" i="19"/>
  <c r="S181" i="19"/>
  <c r="V181" i="19"/>
  <c r="V81" i="19"/>
  <c r="P181" i="19"/>
  <c r="S81" i="19"/>
  <c r="S231" i="19"/>
  <c r="V131" i="19"/>
  <c r="P231" i="19"/>
  <c r="S131" i="19"/>
  <c r="V231" i="19"/>
  <c r="V31" i="19"/>
  <c r="M181" i="19"/>
  <c r="J131" i="19"/>
  <c r="S31" i="19"/>
  <c r="P131" i="19"/>
  <c r="M81" i="19"/>
  <c r="M231" i="19"/>
  <c r="J231" i="19"/>
  <c r="J81" i="19"/>
  <c r="P81" i="19"/>
  <c r="M131" i="19"/>
  <c r="J181" i="19"/>
  <c r="P31" i="19"/>
  <c r="M31" i="19"/>
  <c r="K31" i="19"/>
  <c r="K7" i="19"/>
  <c r="K8" i="19"/>
  <c r="J31" i="19"/>
  <c r="AF14" i="1"/>
  <c r="AF11" i="1"/>
  <c r="AF79" i="1"/>
  <c r="AC15" i="1"/>
  <c r="AB15" i="1"/>
  <c r="AB12" i="1"/>
  <c r="AC12" i="1"/>
  <c r="AF80"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S57" i="19" l="1"/>
  <c r="S7" i="19"/>
  <c r="P7" i="19"/>
  <c r="P157" i="19"/>
  <c r="V207" i="19"/>
  <c r="S157" i="19"/>
  <c r="J157" i="19"/>
  <c r="S207" i="19"/>
  <c r="M57" i="19"/>
  <c r="V57" i="19"/>
  <c r="P57" i="19"/>
  <c r="V107" i="19"/>
  <c r="M207" i="19"/>
  <c r="M7" i="19"/>
  <c r="P107" i="19"/>
  <c r="J107" i="19"/>
  <c r="S107" i="19"/>
  <c r="J57" i="19"/>
  <c r="J207" i="19"/>
  <c r="V157" i="19"/>
  <c r="V7" i="19"/>
  <c r="P207" i="19"/>
  <c r="M157" i="19"/>
  <c r="M107" i="19"/>
  <c r="J7" i="19"/>
  <c r="AF10" i="1"/>
  <c r="AC10" i="1"/>
  <c r="AB13" i="1" s="1"/>
  <c r="S108" i="19" l="1"/>
  <c r="S58" i="19"/>
  <c r="P58" i="19"/>
  <c r="V58" i="19"/>
  <c r="V8" i="19"/>
  <c r="V208" i="19"/>
  <c r="J108" i="19"/>
  <c r="J208" i="19"/>
  <c r="P108" i="19"/>
  <c r="S208" i="19"/>
  <c r="M58" i="19"/>
  <c r="V158" i="19"/>
  <c r="M108" i="19"/>
  <c r="J58" i="19"/>
  <c r="P208" i="19"/>
  <c r="M8" i="19"/>
  <c r="J158" i="19"/>
  <c r="M158" i="19"/>
  <c r="S8" i="19"/>
  <c r="V108" i="19"/>
  <c r="S158" i="19"/>
  <c r="P8" i="19"/>
  <c r="M208" i="19"/>
  <c r="P158" i="19"/>
  <c r="J8" i="19"/>
  <c r="AF13" i="1"/>
  <c r="AC13" i="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N7" i="1"/>
  <c r="O7" i="1" s="1"/>
  <c r="AX66" i="18" l="1"/>
  <c r="AN6" i="18"/>
  <c r="AN46" i="18"/>
  <c r="AX46" i="18"/>
  <c r="AD86" i="18"/>
  <c r="T66" i="18"/>
  <c r="AN26" i="18"/>
  <c r="AX86" i="18"/>
  <c r="AD66" i="18"/>
  <c r="AD46" i="18"/>
  <c r="AD26" i="18"/>
  <c r="T46" i="18"/>
  <c r="AX6" i="18"/>
  <c r="AN86" i="18"/>
  <c r="AN66" i="18"/>
  <c r="AD6" i="18"/>
  <c r="J46" i="18"/>
  <c r="J26" i="18"/>
  <c r="AX26" i="18"/>
  <c r="T86" i="18"/>
  <c r="J66" i="18"/>
  <c r="T6" i="18"/>
  <c r="T26" i="18"/>
  <c r="J86" i="18"/>
  <c r="J6" i="18"/>
  <c r="AE52" i="1"/>
  <c r="AD52" i="1" s="1"/>
  <c r="AE94" i="1"/>
  <c r="AD94" i="1" s="1"/>
  <c r="AE19" i="1"/>
  <c r="AD19" i="1" s="1"/>
  <c r="P7" i="1"/>
  <c r="Q7" i="1"/>
  <c r="V212" i="19" l="1"/>
  <c r="V62" i="19"/>
  <c r="S62" i="19"/>
  <c r="S212" i="19"/>
  <c r="V112" i="19"/>
  <c r="P212" i="19"/>
  <c r="S112" i="19"/>
  <c r="V12" i="19"/>
  <c r="V162" i="19"/>
  <c r="S12" i="19"/>
  <c r="P62" i="19"/>
  <c r="J112" i="19"/>
  <c r="M62" i="19"/>
  <c r="P112" i="19"/>
  <c r="M212" i="19"/>
  <c r="J212" i="19"/>
  <c r="J62" i="19"/>
  <c r="P162" i="19"/>
  <c r="M112" i="19"/>
  <c r="S162" i="19"/>
  <c r="P12" i="19"/>
  <c r="J162" i="19"/>
  <c r="M162" i="19"/>
  <c r="M12" i="19"/>
  <c r="V236" i="19"/>
  <c r="S36" i="19"/>
  <c r="S186" i="19"/>
  <c r="V86" i="19"/>
  <c r="S86" i="19"/>
  <c r="S236" i="19"/>
  <c r="P86" i="19"/>
  <c r="V186" i="19"/>
  <c r="V136" i="19"/>
  <c r="P236" i="19"/>
  <c r="S136" i="19"/>
  <c r="M36" i="19"/>
  <c r="M186" i="19"/>
  <c r="J136" i="19"/>
  <c r="V36" i="19"/>
  <c r="M86" i="19"/>
  <c r="P186" i="19"/>
  <c r="M236" i="19"/>
  <c r="J236" i="19"/>
  <c r="P136" i="19"/>
  <c r="J86" i="19"/>
  <c r="M136" i="19"/>
  <c r="J186" i="19"/>
  <c r="P36" i="19"/>
  <c r="V223" i="19"/>
  <c r="S73" i="19"/>
  <c r="S223" i="19"/>
  <c r="P73" i="19"/>
  <c r="V123" i="19"/>
  <c r="P223" i="19"/>
  <c r="S123" i="19"/>
  <c r="V23" i="19"/>
  <c r="P123" i="19"/>
  <c r="S23" i="19"/>
  <c r="V173" i="19"/>
  <c r="S173" i="19"/>
  <c r="M73" i="19"/>
  <c r="P173" i="19"/>
  <c r="M223" i="19"/>
  <c r="J73" i="19"/>
  <c r="M123" i="19"/>
  <c r="P23" i="19"/>
  <c r="J173" i="19"/>
  <c r="M23" i="19"/>
  <c r="M173" i="19"/>
  <c r="J123" i="19"/>
  <c r="V73" i="19"/>
  <c r="J223" i="19"/>
  <c r="J12" i="19"/>
  <c r="J36" i="19"/>
  <c r="J23" i="19"/>
  <c r="AF94" i="1"/>
  <c r="AF19" i="1"/>
  <c r="AF52" i="1"/>
  <c r="AE7" i="1"/>
  <c r="AD7" i="1" s="1"/>
  <c r="AE9" i="1"/>
  <c r="AD9" i="1" s="1"/>
  <c r="AE8" i="1"/>
  <c r="AD8" i="1" s="1"/>
  <c r="V206" i="19" l="1"/>
  <c r="V156" i="19"/>
  <c r="S6" i="19"/>
  <c r="S156" i="19"/>
  <c r="V56" i="19"/>
  <c r="S56" i="19"/>
  <c r="S206" i="19"/>
  <c r="V106" i="19"/>
  <c r="P206" i="19"/>
  <c r="S106" i="19"/>
  <c r="P106" i="19"/>
  <c r="M6" i="19"/>
  <c r="M156" i="19"/>
  <c r="P56" i="19"/>
  <c r="J106" i="19"/>
  <c r="P156" i="19"/>
  <c r="V6" i="19"/>
  <c r="M56" i="19"/>
  <c r="M206" i="19"/>
  <c r="J206" i="19"/>
  <c r="J56" i="19"/>
  <c r="J156" i="19"/>
  <c r="P6" i="19"/>
  <c r="M106" i="19"/>
  <c r="X206" i="19"/>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J6" i="19"/>
  <c r="AF9" i="1"/>
  <c r="AF8" i="1"/>
  <c r="AF7" i="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<sst xmlns="http://schemas.openxmlformats.org/spreadsheetml/2006/main" count="1512" uniqueCount="602">
  <si>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</si>
  <si>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</si>
  <si>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</si>
  <si>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</si>
  <si>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</si>
  <si>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</si>
  <si>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</si>
  <si>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</si>
  <si>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</si>
  <si>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</si>
  <si>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</si>
  <si>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</si>
  <si>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</si>
  <si>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</si>
  <si>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</si>
  <si>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</si>
  <si>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</si>
  <si>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</si>
  <si>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</si>
  <si>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</si>
  <si>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</si>
  <si>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</si>
  <si>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</si>
  <si>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</si>
  <si>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</si>
  <si>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</si>
  <si>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</si>
  <si>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</si>
  <si>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</si>
  <si>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</si>
  <si>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</si>
  <si>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</si>
  <si>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</si>
  <si>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</si>
  <si>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</si>
  <si>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</si>
  <si>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</si>
  <si>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</si>
  <si>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</si>
  <si>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</si>
  <si>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</si>
  <si>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</si>
  <si>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</si>
  <si>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</si>
  <si>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</si>
  <si>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</si>
  <si>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</si>
  <si>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</si>
  <si>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</si>
  <si>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</si>
  <si>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</si>
  <si>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</si>
  <si>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</si>
  <si>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</si>
  <si>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</si>
  <si>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</si>
  <si>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</si>
  <si>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</si>
  <si>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</si>
  <si>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</si>
  <si>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</si>
  <si>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</si>
  <si>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</si>
  <si>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</si>
  <si>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</si>
  <si>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</si>
  <si>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</si>
  <si>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</si>
  <si>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</si>
  <si>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</si>
  <si>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</si>
  <si>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</si>
  <si>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</si>
  <si>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</si>
  <si>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</si>
  <si>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</si>
  <si>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</si>
  <si>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</si>
  <si>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</si>
  <si>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</si>
  <si>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</si>
  <si>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</si>
  <si>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</si>
  <si>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</si>
  <si>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</si>
  <si>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</si>
  <si>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</si>
  <si>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</si>
  <si>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</si>
  <si>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</si>
  <si>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</si>
  <si>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</si>
  <si>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</si>
  <si>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</si>
  <si>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</si>
  <si>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</si>
  <si>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</si>
  <si>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</si>
  <si>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</si>
  <si>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</si>
  <si>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</si>
  <si>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</si>
  <si>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</si>
  <si>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</si>
  <si>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</si>
  <si>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</si>
  <si>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</si>
  <si>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</si>
  <si>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</si>
  <si>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</si>
  <si>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</si>
  <si>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</si>
  <si>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</si>
  <si>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</si>
  <si>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</si>
  <si>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</si>
  <si>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</si>
  <si>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</si>
  <si>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</si>
  <si>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</si>
  <si>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</si>
  <si>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</si>
  <si>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</si>
  <si>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</si>
  <si>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</si>
  <si>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</si>
  <si>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</si>
  <si>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</si>
  <si>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</si>
  <si>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</si>
  <si>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</si>
  <si>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</si>
  <si>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</si>
  <si>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</si>
  <si>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</si>
  <si>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</si>
  <si>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</si>
  <si>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</si>
  <si>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</si>
  <si>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</si>
  <si>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</si>
  <si>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</si>
  <si>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</si>
  <si>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</si>
  <si>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</si>
  <si>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</si>
  <si>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</si>
  <si>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</si>
  <si>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</si>
  <si>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</si>
  <si>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</si>
  <si>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</si>
  <si>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</si>
  <si>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</si>
  <si>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</si>
  <si>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</si>
  <si>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</si>
  <si>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</si>
  <si>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</si>
  <si>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</si>
  <si>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</si>
  <si>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</si>
  <si>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</si>
  <si>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</si>
  <si>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</si>
  <si>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</si>
  <si>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</si>
  <si>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</si>
  <si>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</si>
  <si>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</si>
  <si>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</si>
  <si>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</si>
  <si>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</si>
  <si>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</si>
  <si>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</si>
  <si>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</si>
  <si>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</si>
  <si>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</si>
  <si>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</si>
  <si>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</si>
  <si>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</si>
  <si>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</si>
  <si>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</si>
  <si>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</si>
  <si>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</si>
  <si>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</si>
  <si>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</si>
  <si>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</si>
  <si>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</si>
  <si>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</si>
  <si>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</si>
  <si>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</si>
  <si>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</si>
  <si>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</si>
  <si>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</si>
  <si>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</si>
  <si>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</si>
  <si>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</si>
  <si>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</si>
  <si>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</si>
  <si>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</si>
  <si>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</si>
  <si>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</si>
  <si>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</si>
  <si>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</si>
  <si>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</si>
  <si>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</si>
  <si>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</si>
  <si>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</si>
  <si>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</si>
  <si>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</si>
  <si>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</si>
  <si>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</si>
  <si>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</si>
  <si>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</si>
  <si>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</si>
  <si>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</si>
  <si>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</si>
  <si>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</si>
  <si>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</si>
  <si>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</si>
  <si>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</si>
  <si>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</si>
  <si>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</si>
  <si>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</si>
  <si>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</si>
  <si>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</si>
  <si>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</si>
  <si>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</si>
  <si>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</si>
  <si>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</si>
  <si>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</si>
  <si>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</si>
  <si>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</si>
  <si>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</si>
  <si>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</si>
  <si>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</si>
  <si>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</si>
  <si>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</si>
  <si>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</si>
  <si>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</si>
  <si>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</si>
  <si>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</si>
  <si>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</si>
  <si>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</si>
  <si>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</si>
  <si>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</si>
  <si>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</si>
  <si>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</si>
  <si>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</si>
  <si>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</si>
  <si>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</si>
  <si>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</si>
  <si>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</si>
  <si>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</si>
  <si>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</si>
  <si>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</si>
  <si>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</si>
  <si>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</si>
  <si>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</si>
  <si>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</si>
  <si>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</si>
  <si>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</si>
  <si>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</si>
  <si>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</si>
  <si>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</si>
  <si>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</si>
  <si>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</si>
  <si>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</si>
  <si>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</si>
  <si>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</si>
  <si>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</si>
  <si>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</si>
  <si>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</si>
  <si>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</si>
  <si>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</si>
  <si>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</si>
  <si>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</si>
  <si>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</si>
  <si>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</si>
  <si>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</si>
  <si>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</si>
  <si>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</si>
  <si>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</si>
  <si>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</si>
  <si>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</si>
  <si>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</si>
  <si>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</si>
  <si>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</si>
  <si>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</si>
  <si>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</si>
  <si>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</si>
  <si>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</si>
  <si>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</si>
  <si>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</si>
  <si>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</si>
  <si>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</si>
  <si>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</si>
  <si>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</si>
  <si>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</si>
  <si>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</si>
  <si>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</si>
  <si>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</si>
  <si>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</si>
  <si>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</si>
  <si>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</si>
  <si>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</si>
  <si>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</si>
  <si>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</si>
  <si>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</si>
  <si>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</si>
  <si>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</si>
  <si>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</si>
  <si>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</si>
  <si>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</si>
  <si>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</si>
  <si>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</si>
  <si>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</si>
  <si>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</si>
  <si>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</si>
  <si>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</si>
  <si>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</si>
  <si>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</si>
  <si>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</si>
  <si>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</si>
  <si>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</si>
  <si>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</si>
  <si>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</si>
  <si>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</si>
  <si>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</si>
  <si>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</si>
  <si>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</si>
  <si>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</si>
  <si>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</si>
  <si>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</si>
  <si>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</si>
  <si>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</si>
  <si>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</si>
  <si>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</si>
  <si>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</si>
  <si>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</si>
  <si>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</si>
  <si>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</si>
  <si>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</si>
  <si>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</si>
  <si>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</si>
  <si>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</si>
  <si>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</si>
  <si>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</si>
  <si>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</si>
  <si>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</si>
  <si>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</si>
  <si>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</si>
  <si>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</si>
  <si>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</si>
  <si>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</si>
  <si>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</si>
  <si>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</si>
  <si>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</si>
  <si>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</si>
  <si>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</si>
  <si>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</si>
  <si>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</si>
  <si>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</si>
  <si>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</si>
  <si>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</si>
  <si>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</si>
  <si>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</si>
  <si>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</si>
  <si>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</si>
  <si>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</si>
  <si>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</si>
  <si>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</si>
  <si>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</si>
  <si>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</si>
  <si>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</si>
  <si>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</si>
  <si>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</si>
  <si>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</si>
  <si>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</si>
  <si>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</si>
  <si>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</si>
  <si>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</si>
  <si>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</si>
  <si>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</si>
  <si>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</si>
  <si>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</si>
  <si>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</si>
  <si>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</si>
  <si>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</si>
  <si>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</si>
  <si>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</si>
  <si>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</si>
  <si>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</si>
  <si>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</si>
  <si>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</si>
  <si>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</si>
  <si>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</si>
  <si>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</si>
  <si>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</si>
  <si>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</si>
  <si>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</si>
  <si>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</si>
  <si>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</si>
  <si>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</si>
  <si>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</si>
  <si>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</si>
  <si>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</si>
  <si>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</si>
  <si>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</si>
  <si>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</si>
  <si>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</si>
  <si>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</si>
  <si>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</si>
  <si>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</si>
  <si>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</si>
  <si>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</si>
  <si>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</si>
  <si>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</si>
  <si>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</si>
  <si>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</si>
  <si>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</si>
  <si>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</si>
  <si>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</si>
  <si>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</si>
  <si>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</si>
  <si>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</si>
  <si>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</si>
  <si>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</si>
  <si>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</si>
  <si>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</si>
  <si>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</si>
  <si>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</si>
  <si>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</si>
  <si>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</si>
  <si>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</si>
  <si>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</si>
  <si>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</si>
  <si>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</si>
  <si>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</si>
  <si>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</si>
  <si>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</si>
  <si>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</si>
  <si>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</si>
  <si>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</si>
  <si>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</si>
  <si>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</si>
  <si>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</si>
  <si>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</si>
  <si>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</si>
  <si>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</si>
  <si>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</si>
  <si>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</si>
  <si>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</si>
  <si>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</si>
  <si>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</si>
  <si>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</si>
  <si>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</si>
  <si>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</si>
  <si>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</si>
  <si>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</si>
  <si>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</si>
  <si>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</si>
  <si>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</si>
  <si>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</si>
  <si>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</si>
  <si>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</si>
  <si>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</si>
  <si>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</si>
  <si>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</si>
  <si>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</si>
  <si>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</si>
  <si>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</si>
  <si>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</si>
  <si>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</si>
  <si>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</si>
  <si>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</si>
  <si>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</si>
  <si>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</si>
  <si>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</si>
  <si>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</si>
  <si>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</si>
  <si>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</si>
  <si>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</si>
  <si>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</si>
  <si>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</si>
  <si>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</si>
  <si>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</si>
  <si>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</si>
  <si>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</si>
  <si>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</si>
  <si>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</si>
  <si>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</si>
  <si>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</si>
  <si>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</si>
  <si>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</si>
  <si>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</si>
  <si>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</si>
  <si>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</si>
  <si>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</si>
  <si>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</si>
  <si>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</si>
  <si>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</si>
  <si>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</si>
  <si>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</si>
  <si>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</si>
  <si>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</si>
  <si>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</si>
  <si>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</si>
  <si>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</si>
  <si>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</si>
  <si>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</si>
  <si>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</si>
  <si>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</si>
  <si>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</si>
  <si>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</si>
  <si>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</si>
  <si>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</si>
  <si>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</si>
  <si>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</si>
  <si>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</si>
  <si>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</si>
  <si>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</si>
  <si>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</si>
  <si>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</si>
  <si>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</si>
  <si>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</si>
  <si>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</si>
  <si>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</si>
  <si>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</si>
  <si>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</si>
  <si>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</si>
  <si>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</si>
  <si>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</si>
  <si>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</si>
  <si>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</si>
  <si>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</si>
  <si>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</si>
  <si>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</si>
  <si>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</si>
  <si>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</si>
  <si>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</si>
  <si>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</si>
  <si>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</si>
  <si>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</si>
  <si>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</si>
  <si>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</si>
  <si>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</si>
  <si>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</si>
  <si>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</si>
  <si>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</si>
  <si>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</si>
  <si>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</si>
  <si>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</si>
  <si>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</si>
  <si>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</si>
  <si>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</si>
  <si>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</si>
  <si>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</si>
  <si>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</si>
  <si>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</si>
  <si>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</si>
  <si>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</si>
  <si>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</si>
  <si>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</si>
  <si>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</si>
  <si>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</si>
  <si>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</si>
  <si>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</si>
  <si>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</si>
  <si>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</si>
  <si>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</si>
  <si>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</si>
  <si>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</si>
  <si>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</si>
  <si>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</si>
  <si>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</si>
  <si>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</si>
  <si>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</si>
  <si>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</si>
  <si>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</si>
  <si>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</si>
  <si>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</si>
  <si>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</si>
  <si>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</si>
  <si>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</si>
  <si>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</si>
  <si>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</si>
  <si>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</si>
  <si>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</si>
  <si>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</si>
  <si>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</si>
  <si>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</si>
  <si>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</si>
  <si>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</si>
  <si>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</si>
  <si>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</si>
  <si>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</si>
  <si>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Documentar los lineamientos para controlar la fuga del conocimiento, así como la definición de las herramientas de monitoreo y seguimiento.</t>
  </si>
  <si>
    <t>Acción de Contingencia ante posible materialización</t>
  </si>
  <si>
    <t>Generar espacios con los involucrados, para realizar el levantamiento de la información, documentarla, publicarla y socializarla.</t>
  </si>
  <si>
    <t>Se establecerá una vez se tengan definidos los  lineamientos para controlar la fuga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</si>
</sst>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3" xfId="0" applyFont="1" applyFill="1" applyBorder="1" applyAlignment="1">
      <alignment horizontal="justify" vertical="center" wrapText="1"/>
    </xf>
    <xf numFmtId="0" fontId="6" fillId="0" borderId="83"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65"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3"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13" borderId="2" xfId="0" applyFont="1" applyFill="1" applyBorder="1" applyAlignment="1" applyProtection="1">
      <alignment horizontal="center" vertical="center"/>
      <protection hidden="1"/>
    </xf>
    <xf numFmtId="0" fontId="6" fillId="3" borderId="0" xfId="0" applyFont="1" applyFill="1" applyAlignment="1">
      <alignment horizontal="center" vertical="center"/>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2" fillId="0" borderId="77" xfId="0" applyFont="1" applyBorder="1" applyAlignment="1">
      <alignment horizontal="center" vertical="center" wrapText="1"/>
    </xf>
    <xf numFmtId="0" fontId="42" fillId="0" borderId="0" xfId="0" applyFont="1" applyBorder="1" applyAlignment="1">
      <alignment horizontal="center" vertical="center"/>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4"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quotePrefix="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xf>
    <xf numFmtId="0" fontId="6" fillId="0" borderId="5" xfId="0" applyFont="1" applyBorder="1" applyAlignment="1" applyProtection="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xf>
    <xf numFmtId="0" fontId="6" fillId="3" borderId="5" xfId="0" applyFont="1" applyFill="1" applyBorder="1" applyAlignment="1" applyProtection="1">
      <alignment horizontal="center" vertical="center"/>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7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597">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2596" dataDxfId="2595">
  <autoFilter ref="B209:C219"/>
  <tableColumns count="2">
    <tableColumn id="1" name="Criterios" dataDxfId="2594"/>
    <tableColumn id="2" name="Subcriterios" dataDxfId="259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53125" defaultRowHeight="14.5" x14ac:dyDescent="0.35"/>
  <cols>
    <col min="1" max="1" width="2.81640625" style="56" customWidth="1"/>
    <col min="2" max="3" width="24.7265625" style="56" customWidth="1"/>
    <col min="4" max="4" width="16" style="56" customWidth="1"/>
    <col min="5" max="5" width="24.7265625" style="56" customWidth="1"/>
    <col min="6" max="6" width="27.7265625" style="56" customWidth="1"/>
    <col min="7" max="8" width="24.7265625" style="56" customWidth="1"/>
    <col min="9" max="16384" width="11.453125" style="56"/>
  </cols>
  <sheetData>
    <row r="1" spans="2:8" ht="15" thickBot="1" x14ac:dyDescent="0.4"/>
    <row r="2" spans="2:8" ht="18" x14ac:dyDescent="0.35">
      <c r="B2" s="239" t="s">
        <v>140</v>
      </c>
      <c r="C2" s="240"/>
      <c r="D2" s="240"/>
      <c r="E2" s="240"/>
      <c r="F2" s="240"/>
      <c r="G2" s="240"/>
      <c r="H2" s="241"/>
    </row>
    <row r="3" spans="2:8" x14ac:dyDescent="0.35">
      <c r="B3" s="57"/>
      <c r="C3" s="58"/>
      <c r="D3" s="58"/>
      <c r="E3" s="58"/>
      <c r="F3" s="58"/>
      <c r="G3" s="58"/>
      <c r="H3" s="59"/>
    </row>
    <row r="4" spans="2:8" ht="63" customHeight="1" x14ac:dyDescent="0.35">
      <c r="B4" s="242" t="s">
        <v>183</v>
      </c>
      <c r="C4" s="243"/>
      <c r="D4" s="243"/>
      <c r="E4" s="243"/>
      <c r="F4" s="243"/>
      <c r="G4" s="243"/>
      <c r="H4" s="244"/>
    </row>
    <row r="5" spans="2:8" ht="63" customHeight="1" x14ac:dyDescent="0.35">
      <c r="B5" s="245"/>
      <c r="C5" s="246"/>
      <c r="D5" s="246"/>
      <c r="E5" s="246"/>
      <c r="F5" s="246"/>
      <c r="G5" s="246"/>
      <c r="H5" s="247"/>
    </row>
    <row r="6" spans="2:8" x14ac:dyDescent="0.35">
      <c r="B6" s="248" t="s">
        <v>138</v>
      </c>
      <c r="C6" s="249"/>
      <c r="D6" s="249"/>
      <c r="E6" s="249"/>
      <c r="F6" s="249"/>
      <c r="G6" s="249"/>
      <c r="H6" s="250"/>
    </row>
    <row r="7" spans="2:8" ht="95.25" customHeight="1" x14ac:dyDescent="0.35">
      <c r="B7" s="258" t="s">
        <v>143</v>
      </c>
      <c r="C7" s="259"/>
      <c r="D7" s="259"/>
      <c r="E7" s="259"/>
      <c r="F7" s="259"/>
      <c r="G7" s="259"/>
      <c r="H7" s="260"/>
    </row>
    <row r="8" spans="2:8" x14ac:dyDescent="0.35">
      <c r="B8" s="94"/>
      <c r="C8" s="95"/>
      <c r="D8" s="95"/>
      <c r="E8" s="95"/>
      <c r="F8" s="95"/>
      <c r="G8" s="95"/>
      <c r="H8" s="96"/>
    </row>
    <row r="9" spans="2:8" ht="16.5" customHeight="1" x14ac:dyDescent="0.35">
      <c r="B9" s="251" t="s">
        <v>176</v>
      </c>
      <c r="C9" s="252"/>
      <c r="D9" s="252"/>
      <c r="E9" s="252"/>
      <c r="F9" s="252"/>
      <c r="G9" s="252"/>
      <c r="H9" s="253"/>
    </row>
    <row r="10" spans="2:8" ht="44.25" customHeight="1" x14ac:dyDescent="0.35">
      <c r="B10" s="251"/>
      <c r="C10" s="252"/>
      <c r="D10" s="252"/>
      <c r="E10" s="252"/>
      <c r="F10" s="252"/>
      <c r="G10" s="252"/>
      <c r="H10" s="253"/>
    </row>
    <row r="11" spans="2:8" ht="15" thickBot="1" x14ac:dyDescent="0.4">
      <c r="B11" s="82"/>
      <c r="C11" s="85"/>
      <c r="D11" s="90"/>
      <c r="E11" s="91"/>
      <c r="F11" s="91"/>
      <c r="G11" s="92"/>
      <c r="H11" s="93"/>
    </row>
    <row r="12" spans="2:8" ht="15" thickTop="1" x14ac:dyDescent="0.35">
      <c r="B12" s="82"/>
      <c r="C12" s="254" t="s">
        <v>139</v>
      </c>
      <c r="D12" s="255"/>
      <c r="E12" s="256" t="s">
        <v>177</v>
      </c>
      <c r="F12" s="257"/>
      <c r="G12" s="85"/>
      <c r="H12" s="86"/>
    </row>
    <row r="13" spans="2:8" ht="35.25" customHeight="1" x14ac:dyDescent="0.35">
      <c r="B13" s="82"/>
      <c r="C13" s="261" t="s">
        <v>170</v>
      </c>
      <c r="D13" s="262"/>
      <c r="E13" s="263" t="s">
        <v>175</v>
      </c>
      <c r="F13" s="264"/>
      <c r="G13" s="85"/>
      <c r="H13" s="86"/>
    </row>
    <row r="14" spans="2:8" ht="17.25" customHeight="1" x14ac:dyDescent="0.35">
      <c r="B14" s="82"/>
      <c r="C14" s="261" t="s">
        <v>171</v>
      </c>
      <c r="D14" s="262"/>
      <c r="E14" s="263" t="s">
        <v>173</v>
      </c>
      <c r="F14" s="264"/>
      <c r="G14" s="85"/>
      <c r="H14" s="86"/>
    </row>
    <row r="15" spans="2:8" ht="19.5" customHeight="1" x14ac:dyDescent="0.35">
      <c r="B15" s="82"/>
      <c r="C15" s="261" t="s">
        <v>172</v>
      </c>
      <c r="D15" s="262"/>
      <c r="E15" s="263" t="s">
        <v>174</v>
      </c>
      <c r="F15" s="264"/>
      <c r="G15" s="85"/>
      <c r="H15" s="86"/>
    </row>
    <row r="16" spans="2:8" ht="69.75" customHeight="1" x14ac:dyDescent="0.35">
      <c r="B16" s="82"/>
      <c r="C16" s="261" t="s">
        <v>141</v>
      </c>
      <c r="D16" s="262"/>
      <c r="E16" s="263" t="s">
        <v>142</v>
      </c>
      <c r="F16" s="264"/>
      <c r="G16" s="85"/>
      <c r="H16" s="86"/>
    </row>
    <row r="17" spans="2:8" ht="34.5" customHeight="1" x14ac:dyDescent="0.35">
      <c r="B17" s="82"/>
      <c r="C17" s="265" t="s">
        <v>2</v>
      </c>
      <c r="D17" s="266"/>
      <c r="E17" s="267" t="s">
        <v>184</v>
      </c>
      <c r="F17" s="268"/>
      <c r="G17" s="85"/>
      <c r="H17" s="86"/>
    </row>
    <row r="18" spans="2:8" ht="27.75" customHeight="1" x14ac:dyDescent="0.35">
      <c r="B18" s="82"/>
      <c r="C18" s="265" t="s">
        <v>3</v>
      </c>
      <c r="D18" s="266"/>
      <c r="E18" s="267" t="s">
        <v>185</v>
      </c>
      <c r="F18" s="268"/>
      <c r="G18" s="85"/>
      <c r="H18" s="86"/>
    </row>
    <row r="19" spans="2:8" ht="28.5" customHeight="1" x14ac:dyDescent="0.35">
      <c r="B19" s="82"/>
      <c r="C19" s="265" t="s">
        <v>38</v>
      </c>
      <c r="D19" s="266"/>
      <c r="E19" s="267" t="s">
        <v>186</v>
      </c>
      <c r="F19" s="268"/>
      <c r="G19" s="85"/>
      <c r="H19" s="86"/>
    </row>
    <row r="20" spans="2:8" ht="72.75" customHeight="1" x14ac:dyDescent="0.35">
      <c r="B20" s="82"/>
      <c r="C20" s="265" t="s">
        <v>1</v>
      </c>
      <c r="D20" s="266"/>
      <c r="E20" s="267" t="s">
        <v>187</v>
      </c>
      <c r="F20" s="268"/>
      <c r="G20" s="85"/>
      <c r="H20" s="86"/>
    </row>
    <row r="21" spans="2:8" ht="64.5" customHeight="1" x14ac:dyDescent="0.35">
      <c r="B21" s="82"/>
      <c r="C21" s="265" t="s">
        <v>44</v>
      </c>
      <c r="D21" s="266"/>
      <c r="E21" s="267" t="s">
        <v>145</v>
      </c>
      <c r="F21" s="268"/>
      <c r="G21" s="85"/>
      <c r="H21" s="86"/>
    </row>
    <row r="22" spans="2:8" ht="71.25" customHeight="1" x14ac:dyDescent="0.35">
      <c r="B22" s="82"/>
      <c r="C22" s="265" t="s">
        <v>144</v>
      </c>
      <c r="D22" s="266"/>
      <c r="E22" s="267" t="s">
        <v>146</v>
      </c>
      <c r="F22" s="268"/>
      <c r="G22" s="85"/>
      <c r="H22" s="86"/>
    </row>
    <row r="23" spans="2:8" ht="55.5" customHeight="1" x14ac:dyDescent="0.35">
      <c r="B23" s="82"/>
      <c r="C23" s="272" t="s">
        <v>147</v>
      </c>
      <c r="D23" s="273"/>
      <c r="E23" s="267" t="s">
        <v>148</v>
      </c>
      <c r="F23" s="268"/>
      <c r="G23" s="85"/>
      <c r="H23" s="86"/>
    </row>
    <row r="24" spans="2:8" ht="42" customHeight="1" x14ac:dyDescent="0.35">
      <c r="B24" s="82"/>
      <c r="C24" s="272" t="s">
        <v>42</v>
      </c>
      <c r="D24" s="273"/>
      <c r="E24" s="267" t="s">
        <v>149</v>
      </c>
      <c r="F24" s="268"/>
      <c r="G24" s="85"/>
      <c r="H24" s="86"/>
    </row>
    <row r="25" spans="2:8" ht="59.25" customHeight="1" x14ac:dyDescent="0.35">
      <c r="B25" s="82"/>
      <c r="C25" s="272" t="s">
        <v>137</v>
      </c>
      <c r="D25" s="273"/>
      <c r="E25" s="267" t="s">
        <v>150</v>
      </c>
      <c r="F25" s="268"/>
      <c r="G25" s="85"/>
      <c r="H25" s="86"/>
    </row>
    <row r="26" spans="2:8" ht="23.25" customHeight="1" x14ac:dyDescent="0.35">
      <c r="B26" s="82"/>
      <c r="C26" s="272" t="s">
        <v>12</v>
      </c>
      <c r="D26" s="273"/>
      <c r="E26" s="267" t="s">
        <v>151</v>
      </c>
      <c r="F26" s="268"/>
      <c r="G26" s="85"/>
      <c r="H26" s="86"/>
    </row>
    <row r="27" spans="2:8" ht="30.75" customHeight="1" x14ac:dyDescent="0.35">
      <c r="B27" s="82"/>
      <c r="C27" s="272" t="s">
        <v>155</v>
      </c>
      <c r="D27" s="273"/>
      <c r="E27" s="267" t="s">
        <v>152</v>
      </c>
      <c r="F27" s="268"/>
      <c r="G27" s="85"/>
      <c r="H27" s="86"/>
    </row>
    <row r="28" spans="2:8" ht="35.25" customHeight="1" x14ac:dyDescent="0.35">
      <c r="B28" s="82"/>
      <c r="C28" s="272" t="s">
        <v>156</v>
      </c>
      <c r="D28" s="273"/>
      <c r="E28" s="267" t="s">
        <v>153</v>
      </c>
      <c r="F28" s="268"/>
      <c r="G28" s="85"/>
      <c r="H28" s="86"/>
    </row>
    <row r="29" spans="2:8" ht="33" customHeight="1" x14ac:dyDescent="0.35">
      <c r="B29" s="82"/>
      <c r="C29" s="272" t="s">
        <v>156</v>
      </c>
      <c r="D29" s="273"/>
      <c r="E29" s="267" t="s">
        <v>153</v>
      </c>
      <c r="F29" s="268"/>
      <c r="G29" s="85"/>
      <c r="H29" s="86"/>
    </row>
    <row r="30" spans="2:8" ht="30" customHeight="1" x14ac:dyDescent="0.35">
      <c r="B30" s="82"/>
      <c r="C30" s="272" t="s">
        <v>157</v>
      </c>
      <c r="D30" s="273"/>
      <c r="E30" s="267" t="s">
        <v>154</v>
      </c>
      <c r="F30" s="268"/>
      <c r="G30" s="85"/>
      <c r="H30" s="86"/>
    </row>
    <row r="31" spans="2:8" ht="35.25" customHeight="1" x14ac:dyDescent="0.35">
      <c r="B31" s="82"/>
      <c r="C31" s="272" t="s">
        <v>158</v>
      </c>
      <c r="D31" s="273"/>
      <c r="E31" s="267" t="s">
        <v>159</v>
      </c>
      <c r="F31" s="268"/>
      <c r="G31" s="85"/>
      <c r="H31" s="86"/>
    </row>
    <row r="32" spans="2:8" ht="31.5" customHeight="1" x14ac:dyDescent="0.35">
      <c r="B32" s="82"/>
      <c r="C32" s="272" t="s">
        <v>160</v>
      </c>
      <c r="D32" s="273"/>
      <c r="E32" s="267" t="s">
        <v>161</v>
      </c>
      <c r="F32" s="268"/>
      <c r="G32" s="85"/>
      <c r="H32" s="86"/>
    </row>
    <row r="33" spans="2:8" ht="35.25" customHeight="1" x14ac:dyDescent="0.35">
      <c r="B33" s="82"/>
      <c r="C33" s="272" t="s">
        <v>162</v>
      </c>
      <c r="D33" s="273"/>
      <c r="E33" s="267" t="s">
        <v>163</v>
      </c>
      <c r="F33" s="268"/>
      <c r="G33" s="85"/>
      <c r="H33" s="86"/>
    </row>
    <row r="34" spans="2:8" ht="59.25" customHeight="1" x14ac:dyDescent="0.35">
      <c r="B34" s="82"/>
      <c r="C34" s="272" t="s">
        <v>164</v>
      </c>
      <c r="D34" s="273"/>
      <c r="E34" s="267" t="s">
        <v>165</v>
      </c>
      <c r="F34" s="268"/>
      <c r="G34" s="85"/>
      <c r="H34" s="86"/>
    </row>
    <row r="35" spans="2:8" ht="29.25" customHeight="1" x14ac:dyDescent="0.35">
      <c r="B35" s="82"/>
      <c r="C35" s="272" t="s">
        <v>29</v>
      </c>
      <c r="D35" s="273"/>
      <c r="E35" s="267" t="s">
        <v>166</v>
      </c>
      <c r="F35" s="268"/>
      <c r="G35" s="85"/>
      <c r="H35" s="86"/>
    </row>
    <row r="36" spans="2:8" ht="82.5" customHeight="1" x14ac:dyDescent="0.35">
      <c r="B36" s="82"/>
      <c r="C36" s="272" t="s">
        <v>168</v>
      </c>
      <c r="D36" s="273"/>
      <c r="E36" s="267" t="s">
        <v>167</v>
      </c>
      <c r="F36" s="268"/>
      <c r="G36" s="85"/>
      <c r="H36" s="86"/>
    </row>
    <row r="37" spans="2:8" ht="46.5" customHeight="1" x14ac:dyDescent="0.35">
      <c r="B37" s="82"/>
      <c r="C37" s="272" t="s">
        <v>35</v>
      </c>
      <c r="D37" s="273"/>
      <c r="E37" s="267" t="s">
        <v>169</v>
      </c>
      <c r="F37" s="268"/>
      <c r="G37" s="85"/>
      <c r="H37" s="86"/>
    </row>
    <row r="38" spans="2:8" ht="6.75" customHeight="1" thickBot="1" x14ac:dyDescent="0.4">
      <c r="B38" s="82"/>
      <c r="C38" s="274"/>
      <c r="D38" s="275"/>
      <c r="E38" s="276"/>
      <c r="F38" s="277"/>
      <c r="G38" s="85"/>
      <c r="H38" s="86"/>
    </row>
    <row r="39" spans="2:8" ht="15" thickTop="1" x14ac:dyDescent="0.35">
      <c r="B39" s="82"/>
      <c r="C39" s="83"/>
      <c r="D39" s="83"/>
      <c r="E39" s="84"/>
      <c r="F39" s="84"/>
      <c r="G39" s="85"/>
      <c r="H39" s="86"/>
    </row>
    <row r="40" spans="2:8" ht="21" customHeight="1" x14ac:dyDescent="0.35">
      <c r="B40" s="269" t="s">
        <v>178</v>
      </c>
      <c r="C40" s="270"/>
      <c r="D40" s="270"/>
      <c r="E40" s="270"/>
      <c r="F40" s="270"/>
      <c r="G40" s="270"/>
      <c r="H40" s="271"/>
    </row>
    <row r="41" spans="2:8" ht="20.25" customHeight="1" x14ac:dyDescent="0.35">
      <c r="B41" s="269" t="s">
        <v>179</v>
      </c>
      <c r="C41" s="270"/>
      <c r="D41" s="270"/>
      <c r="E41" s="270"/>
      <c r="F41" s="270"/>
      <c r="G41" s="270"/>
      <c r="H41" s="271"/>
    </row>
    <row r="42" spans="2:8" ht="20.25" customHeight="1" x14ac:dyDescent="0.35">
      <c r="B42" s="269" t="s">
        <v>180</v>
      </c>
      <c r="C42" s="270"/>
      <c r="D42" s="270"/>
      <c r="E42" s="270"/>
      <c r="F42" s="270"/>
      <c r="G42" s="270"/>
      <c r="H42" s="271"/>
    </row>
    <row r="43" spans="2:8" ht="20.25" customHeight="1" x14ac:dyDescent="0.35">
      <c r="B43" s="269" t="s">
        <v>181</v>
      </c>
      <c r="C43" s="270"/>
      <c r="D43" s="270"/>
      <c r="E43" s="270"/>
      <c r="F43" s="270"/>
      <c r="G43" s="270"/>
      <c r="H43" s="271"/>
    </row>
    <row r="44" spans="2:8" x14ac:dyDescent="0.35">
      <c r="B44" s="269" t="s">
        <v>182</v>
      </c>
      <c r="C44" s="270"/>
      <c r="D44" s="270"/>
      <c r="E44" s="270"/>
      <c r="F44" s="270"/>
      <c r="G44" s="270"/>
      <c r="H44" s="271"/>
    </row>
    <row r="45" spans="2:8" ht="15" thickBot="1" x14ac:dyDescent="0.4">
      <c r="B45" s="87"/>
      <c r="C45" s="88"/>
      <c r="D45" s="88"/>
      <c r="E45" s="88"/>
      <c r="F45" s="88"/>
      <c r="G45" s="88"/>
      <c r="H45" s="89"/>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240" zoomScale="60" zoomScaleNormal="60" workbookViewId="0">
      <selection activeCell="O273" sqref="O273"/>
    </sheetView>
  </sheetViews>
  <sheetFormatPr baseColWidth="10" defaultRowHeight="14.5" x14ac:dyDescent="0.35"/>
  <cols>
    <col min="2" max="9" width="5.7265625" customWidth="1"/>
    <col min="10" max="10" width="10.54296875" bestFit="1" customWidth="1"/>
    <col min="11" max="12" width="11" bestFit="1" customWidth="1"/>
    <col min="13" max="13" width="10.54296875" bestFit="1" customWidth="1"/>
    <col min="14" max="15" width="11" bestFit="1" customWidth="1"/>
    <col min="16" max="16" width="10.81640625" customWidth="1"/>
    <col min="17" max="17" width="11" bestFit="1" customWidth="1"/>
    <col min="18" max="18" width="11" customWidth="1"/>
    <col min="19" max="19" width="10.54296875" bestFit="1" customWidth="1"/>
    <col min="20" max="21" width="11" customWidth="1"/>
    <col min="22" max="22" width="10.81640625" bestFit="1" customWidth="1"/>
    <col min="23" max="24" width="9.7265625" customWidth="1"/>
    <col min="26" max="31" width="5.7265625" customWidth="1"/>
  </cols>
  <sheetData>
    <row r="1" spans="1:76"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row>
    <row r="2" spans="1:76" ht="18" customHeight="1" x14ac:dyDescent="0.35">
      <c r="A2" s="56"/>
      <c r="B2" s="304" t="s">
        <v>134</v>
      </c>
      <c r="C2" s="305"/>
      <c r="D2" s="305"/>
      <c r="E2" s="305"/>
      <c r="F2" s="305"/>
      <c r="G2" s="305"/>
      <c r="H2" s="305"/>
      <c r="I2" s="305"/>
      <c r="J2" s="306" t="s">
        <v>2</v>
      </c>
      <c r="K2" s="306"/>
      <c r="L2" s="306"/>
      <c r="M2" s="306"/>
      <c r="N2" s="306"/>
      <c r="O2" s="306"/>
      <c r="P2" s="306"/>
      <c r="Q2" s="306"/>
      <c r="R2" s="306"/>
      <c r="S2" s="306"/>
      <c r="T2" s="306"/>
      <c r="U2" s="306"/>
      <c r="V2" s="306"/>
      <c r="W2" s="306"/>
      <c r="X2" s="30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row>
    <row r="3" spans="1:76" ht="18.75" customHeight="1" x14ac:dyDescent="0.35">
      <c r="A3" s="56"/>
      <c r="B3" s="305"/>
      <c r="C3" s="305"/>
      <c r="D3" s="305"/>
      <c r="E3" s="305"/>
      <c r="F3" s="305"/>
      <c r="G3" s="305"/>
      <c r="H3" s="305"/>
      <c r="I3" s="305"/>
      <c r="J3" s="306"/>
      <c r="K3" s="306"/>
      <c r="L3" s="306"/>
      <c r="M3" s="306"/>
      <c r="N3" s="306"/>
      <c r="O3" s="306"/>
      <c r="P3" s="306"/>
      <c r="Q3" s="306"/>
      <c r="R3" s="306"/>
      <c r="S3" s="306"/>
      <c r="T3" s="306"/>
      <c r="U3" s="306"/>
      <c r="V3" s="306"/>
      <c r="W3" s="306"/>
      <c r="X3" s="30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row>
    <row r="4" spans="1:76" ht="15" customHeight="1" x14ac:dyDescent="0.35">
      <c r="A4" s="56"/>
      <c r="B4" s="305"/>
      <c r="C4" s="305"/>
      <c r="D4" s="305"/>
      <c r="E4" s="305"/>
      <c r="F4" s="305"/>
      <c r="G4" s="305"/>
      <c r="H4" s="305"/>
      <c r="I4" s="305"/>
      <c r="J4" s="306"/>
      <c r="K4" s="306"/>
      <c r="L4" s="306"/>
      <c r="M4" s="306"/>
      <c r="N4" s="306"/>
      <c r="O4" s="306"/>
      <c r="P4" s="306"/>
      <c r="Q4" s="306"/>
      <c r="R4" s="306"/>
      <c r="S4" s="306"/>
      <c r="T4" s="306"/>
      <c r="U4" s="306"/>
      <c r="V4" s="306"/>
      <c r="W4" s="306"/>
      <c r="X4" s="30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row>
    <row r="5" spans="1:76"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spans="1:76" ht="15" customHeight="1" x14ac:dyDescent="0.35">
      <c r="A6" s="56"/>
      <c r="B6" s="307" t="s">
        <v>4</v>
      </c>
      <c r="C6" s="307"/>
      <c r="D6" s="308"/>
      <c r="E6" s="295" t="s">
        <v>107</v>
      </c>
      <c r="F6" s="296"/>
      <c r="G6" s="296"/>
      <c r="H6" s="296"/>
      <c r="I6" s="296"/>
      <c r="J6" s="102" t="str">
        <f>IF(AND('Mapa final'!$AB$7="Muy Alta",'Mapa final'!$AD$7="Leve"),CONCATENATE("R1C",'Mapa final'!$R$7),"")</f>
        <v/>
      </c>
      <c r="K6" s="103" t="str">
        <f>IF(AND('Mapa final'!$AB$8="Muy Alta",'Mapa final'!$AD$8="Leve"),CONCATENATE("R1C",'Mapa final'!$R$8),"")</f>
        <v/>
      </c>
      <c r="L6" s="104" t="str">
        <f>IF(AND('Mapa final'!$AB$9="Muy Alta",'Mapa final'!$AD$9="Leve"),CONCATENATE("R1C",'Mapa final'!$R$9),"")</f>
        <v/>
      </c>
      <c r="M6" s="102" t="str">
        <f>IF(AND('Mapa final'!$AB$7="Muy Alta",'Mapa final'!$AD$7="Menor"),CONCATENATE("R1C",'Mapa final'!$R$7),"")</f>
        <v/>
      </c>
      <c r="N6" s="103" t="str">
        <f>IF(AND('Mapa final'!$AB$8="Muy Alta",'Mapa final'!$AD$8="Menor"),CONCATENATE("R1C",'Mapa final'!$R$8),"")</f>
        <v/>
      </c>
      <c r="O6" s="104" t="str">
        <f>IF(AND('Mapa final'!$AB$9="Muy Alta",'Mapa final'!$AD$9="Menor"),CONCATENATE("R1C",'Mapa final'!$R$9),"")</f>
        <v/>
      </c>
      <c r="P6" s="102" t="str">
        <f>IF(AND('Mapa final'!$AB$7="Muy Alta",'Mapa final'!$AD$7="Moderado"),CONCATENATE("R1C",'Mapa final'!$R$7),"")</f>
        <v/>
      </c>
      <c r="Q6" s="103" t="str">
        <f>IF(AND('Mapa final'!$AB$8="Muy Alta",'Mapa final'!$AD$8="Moderado"),CONCATENATE("R1C",'Mapa final'!$R$8),"")</f>
        <v/>
      </c>
      <c r="R6" s="104" t="str">
        <f>IF(AND('Mapa final'!$AB$9="Muy Alta",'Mapa final'!$AD$9="Moderado"),CONCATENATE("R1C",'Mapa final'!$R$9),"")</f>
        <v/>
      </c>
      <c r="S6" s="102" t="str">
        <f>IF(AND('Mapa final'!$AB$7="Muy Alta",'Mapa final'!$AD$7="Mayor"),CONCATENATE("R1C",'Mapa final'!$R$7),"")</f>
        <v/>
      </c>
      <c r="T6" s="103" t="str">
        <f>IF(AND('Mapa final'!$AB$8="Muy Alta",'Mapa final'!$AD$8="Mayor"),CONCATENATE("R1C",'Mapa final'!$R$8),"")</f>
        <v/>
      </c>
      <c r="U6" s="104" t="str">
        <f>IF(AND('Mapa final'!$AB$9="Muy Alta",'Mapa final'!$AD$9="Mayor"),CONCATENATE("R1C",'Mapa final'!$R$9),"")</f>
        <v/>
      </c>
      <c r="V6" s="40" t="str">
        <f>IF(AND('Mapa final'!$AB$7="Muy Alta",'Mapa final'!$AD$7="Catastrófico"),CONCATENATE("R1C",'Mapa final'!$R$7),"")</f>
        <v/>
      </c>
      <c r="W6" s="41" t="str">
        <f>IF(AND('Mapa final'!$AB$8="Muy Alta",'Mapa final'!$AD$8="Catastrófico"),CONCATENATE("R1C",'Mapa final'!$R$8),"")</f>
        <v/>
      </c>
      <c r="X6" s="99" t="str">
        <f>IF(AND('Mapa final'!$AB$9="Muy Alta",'Mapa final'!$AD$9="Catastrófico"),CONCATENATE("R1C",'Mapa final'!$R$9),"")</f>
        <v/>
      </c>
      <c r="Y6" s="56"/>
      <c r="Z6" s="298" t="s">
        <v>73</v>
      </c>
      <c r="AA6" s="299"/>
      <c r="AB6" s="299"/>
      <c r="AC6" s="299"/>
      <c r="AD6" s="299"/>
      <c r="AE6" s="300"/>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row>
    <row r="7" spans="1:76" ht="15" customHeight="1" x14ac:dyDescent="0.35">
      <c r="A7" s="56"/>
      <c r="B7" s="307"/>
      <c r="C7" s="307"/>
      <c r="D7" s="308"/>
      <c r="E7" s="284"/>
      <c r="F7" s="297"/>
      <c r="G7" s="297"/>
      <c r="H7" s="297"/>
      <c r="I7" s="279"/>
      <c r="J7" s="105" t="str">
        <f>IF(AND('Mapa final'!$AB$10="Muy Alta",'Mapa final'!$AD$10="Leve"),CONCATENATE("R2C",'Mapa final'!$R$10),"")</f>
        <v/>
      </c>
      <c r="K7" s="42" t="str">
        <f>IF(AND('Mapa final'!$AB$11="Muy Alta",'Mapa final'!$AD$11="Leve"),CONCATENATE("R2C",'Mapa final'!$R$11),"")</f>
        <v/>
      </c>
      <c r="L7" s="106" t="str">
        <f>IF(AND('Mapa final'!$AB$12="Muy Alta",'Mapa final'!$AD$12="Leve"),CONCATENATE("R2C",'Mapa final'!$R$12),"")</f>
        <v/>
      </c>
      <c r="M7" s="105" t="str">
        <f>IF(AND('Mapa final'!$AB$10="Muy Alta",'Mapa final'!$AD$10="Menor"),CONCATENATE("R2C",'Mapa final'!$R$10),"")</f>
        <v/>
      </c>
      <c r="N7" s="42" t="str">
        <f>IF(AND('Mapa final'!$AB$11="Muy Alta",'Mapa final'!$AD$11="Menor"),CONCATENATE("R2C",'Mapa final'!$R$11),"")</f>
        <v/>
      </c>
      <c r="O7" s="106" t="str">
        <f>IF(AND('Mapa final'!$AB$12="Muy Alta",'Mapa final'!$AD$12="Menor"),CONCATENATE("R2C",'Mapa final'!$R$12),"")</f>
        <v/>
      </c>
      <c r="P7" s="105" t="str">
        <f>IF(AND('Mapa final'!$AB$10="Muy Alta",'Mapa final'!$AD$10="Moderado"),CONCATENATE("R2C",'Mapa final'!$R$10),"")</f>
        <v/>
      </c>
      <c r="Q7" s="42" t="str">
        <f>IF(AND('Mapa final'!$AB$11="Muy Alta",'Mapa final'!$AD$11="Moderado"),CONCATENATE("R2C",'Mapa final'!$R$11),"")</f>
        <v/>
      </c>
      <c r="R7" s="106" t="str">
        <f>IF(AND('Mapa final'!$AB$12="Muy Alta",'Mapa final'!$AD$12="Moderado"),CONCATENATE("R2C",'Mapa final'!$R$12),"")</f>
        <v/>
      </c>
      <c r="S7" s="105" t="str">
        <f>IF(AND('Mapa final'!$AB$10="Muy Alta",'Mapa final'!$AD$10="Mayor"),CONCATENATE("R2C",'Mapa final'!$R$10),"")</f>
        <v/>
      </c>
      <c r="T7" s="42" t="str">
        <f>IF(AND('Mapa final'!$AB$11="Muy Alta",'Mapa final'!$AD$11="Mayor"),CONCATENATE("R2C",'Mapa final'!$R$11),"")</f>
        <v/>
      </c>
      <c r="U7" s="106" t="str">
        <f>IF(AND('Mapa final'!$AB$12="Muy Alta",'Mapa final'!$AD$12="Mayor"),CONCATENATE("R2C",'Mapa final'!$R$12),"")</f>
        <v/>
      </c>
      <c r="V7" s="43" t="str">
        <f>IF(AND('Mapa final'!$AB$10="Muy Alta",'Mapa final'!$AD$10="Catastrófico"),CONCATENATE("R2C",'Mapa final'!$R$10),"")</f>
        <v/>
      </c>
      <c r="W7" s="44" t="str">
        <f>IF(AND('Mapa final'!$AB$11="Muy Alta",'Mapa final'!$AD$11="Catastrófico"),CONCATENATE("R2C",'Mapa final'!$R$11),"")</f>
        <v/>
      </c>
      <c r="X7" s="100" t="str">
        <f>IF(AND('Mapa final'!$AB$12="Muy Alta",'Mapa final'!$AD$12="Catastrófico"),CONCATENATE("R2C",'Mapa final'!$R$12),"")</f>
        <v/>
      </c>
      <c r="Y7" s="56"/>
      <c r="Z7" s="301"/>
      <c r="AA7" s="302"/>
      <c r="AB7" s="302"/>
      <c r="AC7" s="302"/>
      <c r="AD7" s="302"/>
      <c r="AE7" s="303"/>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76" ht="15" customHeight="1" x14ac:dyDescent="0.35">
      <c r="A8" s="56"/>
      <c r="B8" s="307"/>
      <c r="C8" s="307"/>
      <c r="D8" s="308"/>
      <c r="E8" s="284"/>
      <c r="F8" s="297"/>
      <c r="G8" s="297"/>
      <c r="H8" s="297"/>
      <c r="I8" s="279"/>
      <c r="J8" s="105" t="str">
        <f>IF(AND('Mapa final'!$AB$13="Muy Alta",'Mapa final'!$AD$13="Leve"),CONCATENATE("R3C",'Mapa final'!$R$13),"")</f>
        <v/>
      </c>
      <c r="K8" s="42" t="str">
        <f>IF(AND('Mapa final'!$AB$14="Muy Alta",'Mapa final'!$AD$14="Leve"),CONCATENATE("R3C",'Mapa final'!$R$14),"")</f>
        <v/>
      </c>
      <c r="L8" s="106" t="str">
        <f>IF(AND('Mapa final'!$AB$15="Muy Alta",'Mapa final'!$AD$15="Leve"),CONCATENATE("R3C",'Mapa final'!$R$15),"")</f>
        <v/>
      </c>
      <c r="M8" s="105" t="str">
        <f>IF(AND('Mapa final'!$AB$13="Muy Alta",'Mapa final'!$AD$13="Menor"),CONCATENATE("R3C",'Mapa final'!$R$13),"")</f>
        <v/>
      </c>
      <c r="N8" s="42" t="str">
        <f>IF(AND('Mapa final'!$AB$14="Muy Alta",'Mapa final'!$AD$14="Menor"),CONCATENATE("R3C",'Mapa final'!$R$14),"")</f>
        <v/>
      </c>
      <c r="O8" s="106" t="str">
        <f>IF(AND('Mapa final'!$AB$15="Muy Alta",'Mapa final'!$AD$15="Menor"),CONCATENATE("R3C",'Mapa final'!$R$15),"")</f>
        <v/>
      </c>
      <c r="P8" s="105" t="str">
        <f>IF(AND('Mapa final'!$AB$13="Muy Alta",'Mapa final'!$AD$13="Moderado"),CONCATENATE("R3C",'Mapa final'!$R$13),"")</f>
        <v/>
      </c>
      <c r="Q8" s="42" t="str">
        <f>IF(AND('Mapa final'!$AB$14="Muy Alta",'Mapa final'!$AD$14="Moderado"),CONCATENATE("R3C",'Mapa final'!$R$14),"")</f>
        <v/>
      </c>
      <c r="R8" s="106" t="str">
        <f>IF(AND('Mapa final'!$AB$15="Muy Alta",'Mapa final'!$AD$15="Moderado"),CONCATENATE("R3C",'Mapa final'!$R$15),"")</f>
        <v/>
      </c>
      <c r="S8" s="105" t="str">
        <f>IF(AND('Mapa final'!$AB$13="Muy Alta",'Mapa final'!$AD$13="Mayor"),CONCATENATE("R3C",'Mapa final'!$R$13),"")</f>
        <v/>
      </c>
      <c r="T8" s="42" t="str">
        <f>IF(AND('Mapa final'!$AB$14="Muy Alta",'Mapa final'!$AD$14="Mayor"),CONCATENATE("R3C",'Mapa final'!$R$14),"")</f>
        <v/>
      </c>
      <c r="U8" s="106" t="str">
        <f>IF(AND('Mapa final'!$AB$15="Muy Alta",'Mapa final'!$AD$15="Mayor"),CONCATENATE("R3C",'Mapa final'!$R$15),"")</f>
        <v/>
      </c>
      <c r="V8" s="43" t="str">
        <f>IF(AND('Mapa final'!$AB$13="Muy Alta",'Mapa final'!$AD$13="Catastrófico"),CONCATENATE("R3C",'Mapa final'!$R$13),"")</f>
        <v/>
      </c>
      <c r="W8" s="44" t="str">
        <f>IF(AND('Mapa final'!$AB$14="Muy Alta",'Mapa final'!$AD$14="Catastrófico"),CONCATENATE("R3C",'Mapa final'!$R$14),"")</f>
        <v/>
      </c>
      <c r="X8" s="100" t="str">
        <f>IF(AND('Mapa final'!$AB$15="Muy Alta",'Mapa final'!$AD$15="Catastrófico"),CONCATENATE("R3C",'Mapa final'!$R$15),"")</f>
        <v/>
      </c>
      <c r="Y8" s="56"/>
      <c r="Z8" s="301"/>
      <c r="AA8" s="302"/>
      <c r="AB8" s="302"/>
      <c r="AC8" s="302"/>
      <c r="AD8" s="302"/>
      <c r="AE8" s="303"/>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76" ht="15" customHeight="1" x14ac:dyDescent="0.35">
      <c r="A9" s="56"/>
      <c r="B9" s="307"/>
      <c r="C9" s="307"/>
      <c r="D9" s="308"/>
      <c r="E9" s="284"/>
      <c r="F9" s="297"/>
      <c r="G9" s="297"/>
      <c r="H9" s="297"/>
      <c r="I9" s="279"/>
      <c r="J9" s="105" t="e">
        <f>IF(AND('Mapa final'!#REF!="Muy Alta",'Mapa final'!#REF!="Leve"),CONCATENATE("R4C",'Mapa final'!#REF!),"")</f>
        <v>#REF!</v>
      </c>
      <c r="K9" s="42" t="e">
        <f>IF(AND('Mapa final'!#REF!="Muy Alta",'Mapa final'!#REF!="Leve"),CONCATENATE("R4C",'Mapa final'!#REF!),"")</f>
        <v>#REF!</v>
      </c>
      <c r="L9" s="106" t="e">
        <f>IF(AND('Mapa final'!#REF!="Muy Alta",'Mapa final'!#REF!="Leve"),CONCATENATE("R4C",'Mapa final'!#REF!),"")</f>
        <v>#REF!</v>
      </c>
      <c r="M9" s="105" t="e">
        <f>IF(AND('Mapa final'!#REF!="Muy Alta",'Mapa final'!#REF!="Menor"),CONCATENATE("R4C",'Mapa final'!#REF!),"")</f>
        <v>#REF!</v>
      </c>
      <c r="N9" s="42" t="e">
        <f>IF(AND('Mapa final'!#REF!="Muy Alta",'Mapa final'!#REF!="Menor"),CONCATENATE("R4C",'Mapa final'!#REF!),"")</f>
        <v>#REF!</v>
      </c>
      <c r="O9" s="106" t="e">
        <f>IF(AND('Mapa final'!#REF!="Muy Alta",'Mapa final'!#REF!="Menor"),CONCATENATE("R4C",'Mapa final'!#REF!),"")</f>
        <v>#REF!</v>
      </c>
      <c r="P9" s="105" t="e">
        <f>IF(AND('Mapa final'!#REF!="Muy Alta",'Mapa final'!#REF!="Moderado"),CONCATENATE("R4C",'Mapa final'!#REF!),"")</f>
        <v>#REF!</v>
      </c>
      <c r="Q9" s="42" t="e">
        <f>IF(AND('Mapa final'!#REF!="Muy Alta",'Mapa final'!#REF!="Moderado"),CONCATENATE("R4C",'Mapa final'!#REF!),"")</f>
        <v>#REF!</v>
      </c>
      <c r="R9" s="106" t="e">
        <f>IF(AND('Mapa final'!#REF!="Muy Alta",'Mapa final'!#REF!="Moderado"),CONCATENATE("R4C",'Mapa final'!#REF!),"")</f>
        <v>#REF!</v>
      </c>
      <c r="S9" s="105" t="e">
        <f>IF(AND('Mapa final'!#REF!="Muy Alta",'Mapa final'!#REF!="Mayor"),CONCATENATE("R4C",'Mapa final'!#REF!),"")</f>
        <v>#REF!</v>
      </c>
      <c r="T9" s="42" t="e">
        <f>IF(AND('Mapa final'!#REF!="Muy Alta",'Mapa final'!#REF!="Mayor"),CONCATENATE("R4C",'Mapa final'!#REF!),"")</f>
        <v>#REF!</v>
      </c>
      <c r="U9" s="106" t="e">
        <f>IF(AND('Mapa final'!#REF!="Muy Alta",'Mapa final'!#REF!="Mayor"),CONCATENATE("R4C",'Mapa final'!#REF!),"")</f>
        <v>#REF!</v>
      </c>
      <c r="V9" s="43" t="e">
        <f>IF(AND('Mapa final'!#REF!="Muy Alta",'Mapa final'!#REF!="Catastrófico"),CONCATENATE("R4C",'Mapa final'!#REF!),"")</f>
        <v>#REF!</v>
      </c>
      <c r="W9" s="44" t="e">
        <f>IF(AND('Mapa final'!#REF!="Muy Alta",'Mapa final'!#REF!="Catastrófico"),CONCATENATE("R4C",'Mapa final'!#REF!),"")</f>
        <v>#REF!</v>
      </c>
      <c r="X9" s="100" t="e">
        <f>IF(AND('Mapa final'!#REF!="Muy Alta",'Mapa final'!#REF!="Catastrófico"),CONCATENATE("R4C",'Mapa final'!#REF!),"")</f>
        <v>#REF!</v>
      </c>
      <c r="Y9" s="56"/>
      <c r="Z9" s="301"/>
      <c r="AA9" s="302"/>
      <c r="AB9" s="302"/>
      <c r="AC9" s="302"/>
      <c r="AD9" s="302"/>
      <c r="AE9" s="303"/>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76" ht="15" customHeight="1" x14ac:dyDescent="0.35">
      <c r="A10" s="56"/>
      <c r="B10" s="307"/>
      <c r="C10" s="307"/>
      <c r="D10" s="308"/>
      <c r="E10" s="284"/>
      <c r="F10" s="297"/>
      <c r="G10" s="297"/>
      <c r="H10" s="297"/>
      <c r="I10" s="279"/>
      <c r="J10" s="105" t="e">
        <f>IF(AND('Mapa final'!#REF!="Muy Alta",'Mapa final'!#REF!="Leve"),CONCATENATE("R5C",'Mapa final'!#REF!),"")</f>
        <v>#REF!</v>
      </c>
      <c r="K10" s="42" t="e">
        <f>IF(AND('Mapa final'!#REF!="Muy Alta",'Mapa final'!#REF!="Leve"),CONCATENATE("R5C",'Mapa final'!#REF!),"")</f>
        <v>#REF!</v>
      </c>
      <c r="L10" s="106" t="e">
        <f>IF(AND('Mapa final'!#REF!="Muy Alta",'Mapa final'!#REF!="Leve"),CONCATENATE("R5C",'Mapa final'!#REF!),"")</f>
        <v>#REF!</v>
      </c>
      <c r="M10" s="105" t="e">
        <f>IF(AND('Mapa final'!#REF!="Muy Alta",'Mapa final'!#REF!="Menor"),CONCATENATE("R5C",'Mapa final'!#REF!),"")</f>
        <v>#REF!</v>
      </c>
      <c r="N10" s="42" t="e">
        <f>IF(AND('Mapa final'!#REF!="Muy Alta",'Mapa final'!#REF!="Menor"),CONCATENATE("R5C",'Mapa final'!#REF!),"")</f>
        <v>#REF!</v>
      </c>
      <c r="O10" s="106" t="e">
        <f>IF(AND('Mapa final'!#REF!="Muy Alta",'Mapa final'!#REF!="Menor"),CONCATENATE("R5C",'Mapa final'!#REF!),"")</f>
        <v>#REF!</v>
      </c>
      <c r="P10" s="105" t="e">
        <f>IF(AND('Mapa final'!#REF!="Muy Alta",'Mapa final'!#REF!="Moderado"),CONCATENATE("R5C",'Mapa final'!#REF!),"")</f>
        <v>#REF!</v>
      </c>
      <c r="Q10" s="42" t="e">
        <f>IF(AND('Mapa final'!#REF!="Muy Alta",'Mapa final'!#REF!="Moderado"),CONCATENATE("R5C",'Mapa final'!#REF!),"")</f>
        <v>#REF!</v>
      </c>
      <c r="R10" s="106" t="e">
        <f>IF(AND('Mapa final'!#REF!="Muy Alta",'Mapa final'!#REF!="Moderado"),CONCATENATE("R5C",'Mapa final'!#REF!),"")</f>
        <v>#REF!</v>
      </c>
      <c r="S10" s="105" t="e">
        <f>IF(AND('Mapa final'!#REF!="Muy Alta",'Mapa final'!#REF!="Mayor"),CONCATENATE("R5C",'Mapa final'!#REF!),"")</f>
        <v>#REF!</v>
      </c>
      <c r="T10" s="42" t="e">
        <f>IF(AND('Mapa final'!#REF!="Muy Alta",'Mapa final'!#REF!="Mayor"),CONCATENATE("R5C",'Mapa final'!#REF!),"")</f>
        <v>#REF!</v>
      </c>
      <c r="U10" s="106" t="e">
        <f>IF(AND('Mapa final'!#REF!="Muy Alta",'Mapa final'!#REF!="Mayor"),CONCATENATE("R5C",'Mapa final'!#REF!),"")</f>
        <v>#REF!</v>
      </c>
      <c r="V10" s="43" t="e">
        <f>IF(AND('Mapa final'!#REF!="Muy Alta",'Mapa final'!#REF!="Catastrófico"),CONCATENATE("R5C",'Mapa final'!#REF!),"")</f>
        <v>#REF!</v>
      </c>
      <c r="W10" s="44" t="e">
        <f>IF(AND('Mapa final'!#REF!="Muy Alta",'Mapa final'!#REF!="Catastrófico"),CONCATENATE("R5C",'Mapa final'!#REF!),"")</f>
        <v>#REF!</v>
      </c>
      <c r="X10" s="100" t="e">
        <f>IF(AND('Mapa final'!#REF!="Muy Alta",'Mapa final'!#REF!="Catastrófico"),CONCATENATE("R5C",'Mapa final'!#REF!),"")</f>
        <v>#REF!</v>
      </c>
      <c r="Y10" s="56"/>
      <c r="Z10" s="301"/>
      <c r="AA10" s="302"/>
      <c r="AB10" s="302"/>
      <c r="AC10" s="302"/>
      <c r="AD10" s="302"/>
      <c r="AE10" s="303"/>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76" ht="15" customHeight="1" x14ac:dyDescent="0.35">
      <c r="A11" s="56"/>
      <c r="B11" s="307"/>
      <c r="C11" s="307"/>
      <c r="D11" s="308"/>
      <c r="E11" s="284"/>
      <c r="F11" s="297"/>
      <c r="G11" s="297"/>
      <c r="H11" s="297"/>
      <c r="I11" s="279"/>
      <c r="J11" s="105" t="str">
        <f>IF(AND('Mapa final'!$AB$16="Muy Alta",'Mapa final'!$AD$16="Leve"),CONCATENATE("R6C",'Mapa final'!$R$16),"")</f>
        <v/>
      </c>
      <c r="K11" s="42" t="str">
        <f>IF(AND('Mapa final'!$AB$17="Muy Alta",'Mapa final'!$AD$17="Leve"),CONCATENATE("R6C",'Mapa final'!$R$17),"")</f>
        <v/>
      </c>
      <c r="L11" s="106" t="str">
        <f>IF(AND('Mapa final'!$AB$18="Muy Alta",'Mapa final'!$AD$18="Leve"),CONCATENATE("R6C",'Mapa final'!$R$18),"")</f>
        <v/>
      </c>
      <c r="M11" s="105" t="str">
        <f>IF(AND('Mapa final'!$AB$16="Muy Alta",'Mapa final'!$AD$16="Menor"),CONCATENATE("R6C",'Mapa final'!$R$16),"")</f>
        <v/>
      </c>
      <c r="N11" s="42" t="str">
        <f>IF(AND('Mapa final'!$AB$17="Muy Alta",'Mapa final'!$AD$17="Menor"),CONCATENATE("R6C",'Mapa final'!$R$17),"")</f>
        <v/>
      </c>
      <c r="O11" s="106" t="str">
        <f>IF(AND('Mapa final'!$AB$18="Muy Alta",'Mapa final'!$AD$18="Menor"),CONCATENATE("R6C",'Mapa final'!$R$18),"")</f>
        <v/>
      </c>
      <c r="P11" s="105" t="str">
        <f>IF(AND('Mapa final'!$AB$16="Muy Alta",'Mapa final'!$AD$16="Moderado"),CONCATENATE("R6C",'Mapa final'!$R$16),"")</f>
        <v/>
      </c>
      <c r="Q11" s="42" t="str">
        <f>IF(AND('Mapa final'!$AB$17="Muy Alta",'Mapa final'!$AD$17="Moderado"),CONCATENATE("R6C",'Mapa final'!$R$17),"")</f>
        <v/>
      </c>
      <c r="R11" s="106" t="str">
        <f>IF(AND('Mapa final'!$AB$18="Muy Alta",'Mapa final'!$AD$18="Moderado"),CONCATENATE("R6C",'Mapa final'!$R$18),"")</f>
        <v/>
      </c>
      <c r="S11" s="105" t="str">
        <f>IF(AND('Mapa final'!$AB$16="Muy Alta",'Mapa final'!$AD$16="Mayor"),CONCATENATE("R6C",'Mapa final'!$R$16),"")</f>
        <v/>
      </c>
      <c r="T11" s="42" t="str">
        <f>IF(AND('Mapa final'!$AB$17="Muy Alta",'Mapa final'!$AD$17="Mayor"),CONCATENATE("R6C",'Mapa final'!$R$17),"")</f>
        <v/>
      </c>
      <c r="U11" s="106" t="str">
        <f>IF(AND('Mapa final'!$AB$18="Muy Alta",'Mapa final'!$AD$18="Mayor"),CONCATENATE("R6C",'Mapa final'!$R$18),"")</f>
        <v/>
      </c>
      <c r="V11" s="43" t="str">
        <f>IF(AND('Mapa final'!$AB$16="Muy Alta",'Mapa final'!$AD$16="Catastrófico"),CONCATENATE("R6C",'Mapa final'!$R$16),"")</f>
        <v/>
      </c>
      <c r="W11" s="44" t="str">
        <f>IF(AND('Mapa final'!$AB$17="Muy Alta",'Mapa final'!$AD$17="Catastrófico"),CONCATENATE("R6C",'Mapa final'!$R$17),"")</f>
        <v/>
      </c>
      <c r="X11" s="100" t="str">
        <f>IF(AND('Mapa final'!$AB$18="Muy Alta",'Mapa final'!$AD$18="Catastrófico"),CONCATENATE("R6C",'Mapa final'!$R$18),"")</f>
        <v/>
      </c>
      <c r="Y11" s="56"/>
      <c r="Z11" s="301"/>
      <c r="AA11" s="302"/>
      <c r="AB11" s="302"/>
      <c r="AC11" s="302"/>
      <c r="AD11" s="302"/>
      <c r="AE11" s="303"/>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76" ht="15" customHeight="1" x14ac:dyDescent="0.35">
      <c r="A12" s="56"/>
      <c r="B12" s="307"/>
      <c r="C12" s="307"/>
      <c r="D12" s="308"/>
      <c r="E12" s="284"/>
      <c r="F12" s="297"/>
      <c r="G12" s="297"/>
      <c r="H12" s="297"/>
      <c r="I12" s="279"/>
      <c r="J12" s="105" t="str">
        <f>IF(AND('Mapa final'!$AB$19="Muy Alta",'Mapa final'!$AD$19="Leve"),CONCATENATE("R7C",'Mapa final'!$R$19),"")</f>
        <v/>
      </c>
      <c r="K12" s="42" t="str">
        <f>IF(AND('Mapa final'!$AB$20="Muy Alta",'Mapa final'!$AD$20="Leve"),CONCATENATE("R7C",'Mapa final'!$R$20),"")</f>
        <v/>
      </c>
      <c r="L12" s="106" t="str">
        <f>IF(AND('Mapa final'!$AB$21="Muy Alta",'Mapa final'!$AD$21="Leve"),CONCATENATE("R7C",'Mapa final'!$R$21),"")</f>
        <v/>
      </c>
      <c r="M12" s="105" t="str">
        <f>IF(AND('Mapa final'!$AB$19="Muy Alta",'Mapa final'!$AD$19="Menor"),CONCATENATE("R7C",'Mapa final'!$R$19),"")</f>
        <v/>
      </c>
      <c r="N12" s="42" t="str">
        <f>IF(AND('Mapa final'!$AB$20="Muy Alta",'Mapa final'!$AD$20="Menor"),CONCATENATE("R7C",'Mapa final'!$R$20),"")</f>
        <v/>
      </c>
      <c r="O12" s="106" t="str">
        <f>IF(AND('Mapa final'!$AB$21="Muy Alta",'Mapa final'!$AD$21="Menor"),CONCATENATE("R7C",'Mapa final'!$R$21),"")</f>
        <v/>
      </c>
      <c r="P12" s="105" t="str">
        <f>IF(AND('Mapa final'!$AB$19="Muy Alta",'Mapa final'!$AD$19="Moderado"),CONCATENATE("R7C",'Mapa final'!$R$19),"")</f>
        <v/>
      </c>
      <c r="Q12" s="42" t="str">
        <f>IF(AND('Mapa final'!$AB$20="Muy Alta",'Mapa final'!$AD$20="Moderado"),CONCATENATE("R7C",'Mapa final'!$R$20),"")</f>
        <v/>
      </c>
      <c r="R12" s="106" t="str">
        <f>IF(AND('Mapa final'!$AB$21="Muy Alta",'Mapa final'!$AD$21="Moderado"),CONCATENATE("R7C",'Mapa final'!$R$21),"")</f>
        <v/>
      </c>
      <c r="S12" s="105" t="str">
        <f>IF(AND('Mapa final'!$AB$19="Muy Alta",'Mapa final'!$AD$19="Mayor"),CONCATENATE("R7C",'Mapa final'!$R$19),"")</f>
        <v/>
      </c>
      <c r="T12" s="42" t="str">
        <f>IF(AND('Mapa final'!$AB$20="Muy Alta",'Mapa final'!$AD$20="Mayor"),CONCATENATE("R7C",'Mapa final'!$R$20),"")</f>
        <v/>
      </c>
      <c r="U12" s="106" t="str">
        <f>IF(AND('Mapa final'!$AB$21="Muy Alta",'Mapa final'!$AD$21="Mayor"),CONCATENATE("R7C",'Mapa final'!$R$21),"")</f>
        <v/>
      </c>
      <c r="V12" s="43" t="str">
        <f>IF(AND('Mapa final'!$AB$19="Muy Alta",'Mapa final'!$AD$19="Catastrófico"),CONCATENATE("R7C",'Mapa final'!$R$19),"")</f>
        <v/>
      </c>
      <c r="W12" s="44" t="str">
        <f>IF(AND('Mapa final'!$AB$20="Muy Alta",'Mapa final'!$AD$20="Catastrófico"),CONCATENATE("R7C",'Mapa final'!$R$20),"")</f>
        <v/>
      </c>
      <c r="X12" s="100" t="str">
        <f>IF(AND('Mapa final'!$AB$21="Muy Alta",'Mapa final'!$AD$21="Catastrófico"),CONCATENATE("R7C",'Mapa final'!$R$21),"")</f>
        <v/>
      </c>
      <c r="Y12" s="56"/>
      <c r="Z12" s="301"/>
      <c r="AA12" s="302"/>
      <c r="AB12" s="302"/>
      <c r="AC12" s="302"/>
      <c r="AD12" s="302"/>
      <c r="AE12" s="303"/>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row>
    <row r="13" spans="1:76" ht="15" customHeight="1" x14ac:dyDescent="0.35">
      <c r="A13" s="56"/>
      <c r="B13" s="307"/>
      <c r="C13" s="307"/>
      <c r="D13" s="308"/>
      <c r="E13" s="284"/>
      <c r="F13" s="297"/>
      <c r="G13" s="297"/>
      <c r="H13" s="297"/>
      <c r="I13" s="279"/>
      <c r="J13" s="105" t="str">
        <f>IF(AND('Mapa final'!$AB$22="Muy Alta",'Mapa final'!$AD$22="Leve"),CONCATENATE("R8C",'Mapa final'!$R$22),"")</f>
        <v/>
      </c>
      <c r="K13" s="42" t="str">
        <f>IF(AND('Mapa final'!$AB$23="Muy Alta",'Mapa final'!$AD$23="Leve"),CONCATENATE("R8C",'Mapa final'!$R$23),"")</f>
        <v/>
      </c>
      <c r="L13" s="106" t="str">
        <f>IF(AND('Mapa final'!$AB$24="Muy Alta",'Mapa final'!$AD$24="Leve"),CONCATENATE("R8C",'Mapa final'!$R$24),"")</f>
        <v/>
      </c>
      <c r="M13" s="105" t="str">
        <f>IF(AND('Mapa final'!$AB$22="Muy Alta",'Mapa final'!$AD$22="Menor"),CONCATENATE("R8C",'Mapa final'!$R$22),"")</f>
        <v/>
      </c>
      <c r="N13" s="42" t="str">
        <f>IF(AND('Mapa final'!$AB$23="Muy Alta",'Mapa final'!$AD$23="Menor"),CONCATENATE("R8C",'Mapa final'!$R$23),"")</f>
        <v/>
      </c>
      <c r="O13" s="106" t="str">
        <f>IF(AND('Mapa final'!$AB$24="Muy Alta",'Mapa final'!$AD$24="Menor"),CONCATENATE("R8C",'Mapa final'!$R$24),"")</f>
        <v/>
      </c>
      <c r="P13" s="105" t="str">
        <f>IF(AND('Mapa final'!$AB$22="Muy Alta",'Mapa final'!$AD$22="Moderado"),CONCATENATE("R8C",'Mapa final'!$R$22),"")</f>
        <v/>
      </c>
      <c r="Q13" s="42" t="str">
        <f>IF(AND('Mapa final'!$AB$23="Muy Alta",'Mapa final'!$AD$23="Moderado"),CONCATENATE("R8C",'Mapa final'!$R$23),"")</f>
        <v/>
      </c>
      <c r="R13" s="106" t="str">
        <f>IF(AND('Mapa final'!$AB$24="Muy Alta",'Mapa final'!$AD$24="Moderado"),CONCATENATE("R8C",'Mapa final'!$R$24),"")</f>
        <v/>
      </c>
      <c r="S13" s="105" t="str">
        <f>IF(AND('Mapa final'!$AB$22="Muy Alta",'Mapa final'!$AD$22="Mayor"),CONCATENATE("R8C",'Mapa final'!$R$22),"")</f>
        <v/>
      </c>
      <c r="T13" s="42" t="str">
        <f>IF(AND('Mapa final'!$AB$23="Muy Alta",'Mapa final'!$AD$23="Mayor"),CONCATENATE("R8C",'Mapa final'!$R$23),"")</f>
        <v/>
      </c>
      <c r="U13" s="106" t="str">
        <f>IF(AND('Mapa final'!$AB$24="Muy Alta",'Mapa final'!$AD$24="Mayor"),CONCATENATE("R8C",'Mapa final'!$R$24),"")</f>
        <v/>
      </c>
      <c r="V13" s="43" t="str">
        <f>IF(AND('Mapa final'!$AB$22="Muy Alta",'Mapa final'!$AD$22="Catastrófico"),CONCATENATE("R8C",'Mapa final'!$R$22),"")</f>
        <v/>
      </c>
      <c r="W13" s="44" t="str">
        <f>IF(AND('Mapa final'!$AB$23="Muy Alta",'Mapa final'!$AD$23="Catastrófico"),CONCATENATE("R8C",'Mapa final'!$R$23),"")</f>
        <v/>
      </c>
      <c r="X13" s="100" t="str">
        <f>IF(AND('Mapa final'!$AB$24="Muy Alta",'Mapa final'!$AD$24="Catastrófico"),CONCATENATE("R8C",'Mapa final'!$R$24),"")</f>
        <v/>
      </c>
      <c r="Y13" s="56"/>
      <c r="Z13" s="301"/>
      <c r="AA13" s="302"/>
      <c r="AB13" s="302"/>
      <c r="AC13" s="302"/>
      <c r="AD13" s="302"/>
      <c r="AE13" s="303"/>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row>
    <row r="14" spans="1:76" ht="15" customHeight="1" x14ac:dyDescent="0.35">
      <c r="A14" s="56"/>
      <c r="B14" s="307"/>
      <c r="C14" s="307"/>
      <c r="D14" s="308"/>
      <c r="E14" s="284"/>
      <c r="F14" s="297"/>
      <c r="G14" s="297"/>
      <c r="H14" s="297"/>
      <c r="I14" s="279"/>
      <c r="J14" s="105" t="str">
        <f>IF(AND('Mapa final'!$AB$25="Muy Alta",'Mapa final'!$AD$25="Leve"),CONCATENATE("R9C",'Mapa final'!$R$25),"")</f>
        <v/>
      </c>
      <c r="K14" s="42" t="str">
        <f>IF(AND('Mapa final'!$AB$26="Muy Alta",'Mapa final'!$AD$26="Leve"),CONCATENATE("R9C",'Mapa final'!$R$26),"")</f>
        <v/>
      </c>
      <c r="L14" s="106" t="str">
        <f>IF(AND('Mapa final'!$AB$27="Muy Alta",'Mapa final'!$AD$27="Leve"),CONCATENATE("R9C",'Mapa final'!$R$27),"")</f>
        <v/>
      </c>
      <c r="M14" s="105" t="str">
        <f>IF(AND('Mapa final'!$AB$25="Muy Alta",'Mapa final'!$AD$25="Menor"),CONCATENATE("R9C",'Mapa final'!$R$25),"")</f>
        <v/>
      </c>
      <c r="N14" s="42" t="str">
        <f>IF(AND('Mapa final'!$AB$26="Muy Alta",'Mapa final'!$AD$26="Menor"),CONCATENATE("R9C",'Mapa final'!$R$26),"")</f>
        <v/>
      </c>
      <c r="O14" s="106" t="str">
        <f>IF(AND('Mapa final'!$AB$27="Muy Alta",'Mapa final'!$AD$27="Menor"),CONCATENATE("R9C",'Mapa final'!$R$27),"")</f>
        <v/>
      </c>
      <c r="P14" s="105" t="str">
        <f>IF(AND('Mapa final'!$AB$25="Muy Alta",'Mapa final'!$AD$25="Moderado"),CONCATENATE("R9C",'Mapa final'!$R$25),"")</f>
        <v/>
      </c>
      <c r="Q14" s="42" t="str">
        <f>IF(AND('Mapa final'!$AB$26="Muy Alta",'Mapa final'!$AD$26="Moderado"),CONCATENATE("R9C",'Mapa final'!$R$26),"")</f>
        <v/>
      </c>
      <c r="R14" s="106" t="str">
        <f>IF(AND('Mapa final'!$AB$27="Muy Alta",'Mapa final'!$AD$27="Moderado"),CONCATENATE("R9C",'Mapa final'!$R$27),"")</f>
        <v/>
      </c>
      <c r="S14" s="105" t="str">
        <f>IF(AND('Mapa final'!$AB$25="Muy Alta",'Mapa final'!$AD$25="Mayor"),CONCATENATE("R9C",'Mapa final'!$R$25),"")</f>
        <v/>
      </c>
      <c r="T14" s="42" t="str">
        <f>IF(AND('Mapa final'!$AB$26="Muy Alta",'Mapa final'!$AD$26="Mayor"),CONCATENATE("R9C",'Mapa final'!$R$26),"")</f>
        <v/>
      </c>
      <c r="U14" s="106" t="str">
        <f>IF(AND('Mapa final'!$AB$27="Muy Alta",'Mapa final'!$AD$27="Mayor"),CONCATENATE("R9C",'Mapa final'!$R$27),"")</f>
        <v/>
      </c>
      <c r="V14" s="43" t="str">
        <f>IF(AND('Mapa final'!$AB$25="Muy Alta",'Mapa final'!$AD$25="Catastrófico"),CONCATENATE("R9C",'Mapa final'!$R$25),"")</f>
        <v/>
      </c>
      <c r="W14" s="44" t="str">
        <f>IF(AND('Mapa final'!$AB$26="Muy Alta",'Mapa final'!$AD$26="Catastrófico"),CONCATENATE("R9C",'Mapa final'!$R$26),"")</f>
        <v/>
      </c>
      <c r="X14" s="100" t="str">
        <f>IF(AND('Mapa final'!$AB$27="Muy Alta",'Mapa final'!$AD$27="Catastrófico"),CONCATENATE("R9C",'Mapa final'!$R$27),"")</f>
        <v/>
      </c>
      <c r="Y14" s="56"/>
      <c r="Z14" s="301"/>
      <c r="AA14" s="302"/>
      <c r="AB14" s="302"/>
      <c r="AC14" s="302"/>
      <c r="AD14" s="302"/>
      <c r="AE14" s="303"/>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76" ht="15" customHeight="1" x14ac:dyDescent="0.35">
      <c r="A15" s="56"/>
      <c r="B15" s="307"/>
      <c r="C15" s="307"/>
      <c r="D15" s="308"/>
      <c r="E15" s="284"/>
      <c r="F15" s="297"/>
      <c r="G15" s="297"/>
      <c r="H15" s="297"/>
      <c r="I15" s="279"/>
      <c r="J15" s="105" t="str">
        <f>IF(AND('Mapa final'!$AB$28="Muy Alta",'Mapa final'!$AD$28="Leve"),CONCATENATE("R10C",'Mapa final'!$R$28),"")</f>
        <v/>
      </c>
      <c r="K15" s="42" t="str">
        <f>IF(AND('Mapa final'!$AB$29="Muy Alta",'Mapa final'!$AD$29="Leve"),CONCATENATE("R10C",'Mapa final'!$R$29),"")</f>
        <v/>
      </c>
      <c r="L15" s="106" t="str">
        <f>IF(AND('Mapa final'!$AB$30="Muy Alta",'Mapa final'!$AD$30="Leve"),CONCATENATE("R10C",'Mapa final'!$R$30),"")</f>
        <v/>
      </c>
      <c r="M15" s="105" t="str">
        <f>IF(AND('Mapa final'!$AB$28="Muy Alta",'Mapa final'!$AD$28="Menor"),CONCATENATE("R10C",'Mapa final'!$R$28),"")</f>
        <v/>
      </c>
      <c r="N15" s="42" t="str">
        <f>IF(AND('Mapa final'!$AB$29="Muy Alta",'Mapa final'!$AD$29="Menor"),CONCATENATE("R10C",'Mapa final'!$R$29),"")</f>
        <v/>
      </c>
      <c r="O15" s="106" t="str">
        <f>IF(AND('Mapa final'!$AB$30="Muy Alta",'Mapa final'!$AD$30="Menor"),CONCATENATE("R10C",'Mapa final'!$R$30),"")</f>
        <v/>
      </c>
      <c r="P15" s="105" t="str">
        <f>IF(AND('Mapa final'!$AB$28="Muy Alta",'Mapa final'!$AD$28="Moderado"),CONCATENATE("R10C",'Mapa final'!$R$28),"")</f>
        <v/>
      </c>
      <c r="Q15" s="42" t="str">
        <f>IF(AND('Mapa final'!$AB$29="Muy Alta",'Mapa final'!$AD$29="Moderado"),CONCATENATE("R10C",'Mapa final'!$R$29),"")</f>
        <v/>
      </c>
      <c r="R15" s="106" t="str">
        <f>IF(AND('Mapa final'!$AB$30="Muy Alta",'Mapa final'!$AD$30="Moderado"),CONCATENATE("R10C",'Mapa final'!$R$30),"")</f>
        <v/>
      </c>
      <c r="S15" s="105" t="str">
        <f>IF(AND('Mapa final'!$AB$28="Muy Alta",'Mapa final'!$AD$28="Mayor"),CONCATENATE("R10C",'Mapa final'!$R$28),"")</f>
        <v/>
      </c>
      <c r="T15" s="42" t="str">
        <f>IF(AND('Mapa final'!$AB$29="Muy Alta",'Mapa final'!$AD$29="Mayor"),CONCATENATE("R10C",'Mapa final'!$R$29),"")</f>
        <v/>
      </c>
      <c r="U15" s="106" t="str">
        <f>IF(AND('Mapa final'!$AB$30="Muy Alta",'Mapa final'!$AD$30="Mayor"),CONCATENATE("R10C",'Mapa final'!$R$30),"")</f>
        <v/>
      </c>
      <c r="V15" s="43" t="str">
        <f>IF(AND('Mapa final'!$AB$28="Muy Alta",'Mapa final'!$AD$28="Catastrófico"),CONCATENATE("R10C",'Mapa final'!$R$28),"")</f>
        <v/>
      </c>
      <c r="W15" s="44" t="str">
        <f>IF(AND('Mapa final'!$AB$29="Muy Alta",'Mapa final'!$AD$29="Catastrófico"),CONCATENATE("R10C",'Mapa final'!$R$29),"")</f>
        <v/>
      </c>
      <c r="X15" s="100" t="str">
        <f>IF(AND('Mapa final'!$AB$30="Muy Alta",'Mapa final'!$AD$30="Catastrófico"),CONCATENATE("R10C",'Mapa final'!$R$30),"")</f>
        <v/>
      </c>
      <c r="Y15" s="56"/>
      <c r="Z15" s="301"/>
      <c r="AA15" s="302"/>
      <c r="AB15" s="302"/>
      <c r="AC15" s="302"/>
      <c r="AD15" s="302"/>
      <c r="AE15" s="303"/>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row>
    <row r="16" spans="1:76" ht="15" customHeight="1" x14ac:dyDescent="0.35">
      <c r="A16" s="56"/>
      <c r="B16" s="307"/>
      <c r="C16" s="307"/>
      <c r="D16" s="308"/>
      <c r="E16" s="284"/>
      <c r="F16" s="297"/>
      <c r="G16" s="297"/>
      <c r="H16" s="297"/>
      <c r="I16" s="279"/>
      <c r="J16" s="105" t="str">
        <f>IF(AND('Mapa final'!$AB$31="Muy Alta",'Mapa final'!$AD$31="Leve"),CONCATENATE("R11C",'Mapa final'!$R$31),"")</f>
        <v/>
      </c>
      <c r="K16" s="42" t="str">
        <f>IF(AND('Mapa final'!$AB$32="Muy Alta",'Mapa final'!$AD$32="Leve"),CONCATENATE("R11C",'Mapa final'!$R$32),"")</f>
        <v/>
      </c>
      <c r="L16" s="106" t="str">
        <f>IF(AND('Mapa final'!$AB$33="Muy Alta",'Mapa final'!$AD$33="Leve"),CONCATENATE("R11C",'Mapa final'!$R$33),"")</f>
        <v/>
      </c>
      <c r="M16" s="105" t="str">
        <f>IF(AND('Mapa final'!$AB$31="Muy Alta",'Mapa final'!$AD$31="Menor"),CONCATENATE("R11C",'Mapa final'!$R$31),"")</f>
        <v/>
      </c>
      <c r="N16" s="42" t="str">
        <f>IF(AND('Mapa final'!$AB$32="Muy Alta",'Mapa final'!$AD$32="Menor"),CONCATENATE("R11C",'Mapa final'!$R$32),"")</f>
        <v/>
      </c>
      <c r="O16" s="106" t="str">
        <f>IF(AND('Mapa final'!$AB$33="Muy Alta",'Mapa final'!$AD$33="Menor"),CONCATENATE("R11C",'Mapa final'!$R$33),"")</f>
        <v/>
      </c>
      <c r="P16" s="105" t="str">
        <f>IF(AND('Mapa final'!$AB$31="Muy Alta",'Mapa final'!$AD$31="Moderado"),CONCATENATE("R11C",'Mapa final'!$R$31),"")</f>
        <v/>
      </c>
      <c r="Q16" s="42" t="str">
        <f>IF(AND('Mapa final'!$AB$32="Muy Alta",'Mapa final'!$AD$32="Moderado"),CONCATENATE("R11C",'Mapa final'!$R$32),"")</f>
        <v/>
      </c>
      <c r="R16" s="106" t="str">
        <f>IF(AND('Mapa final'!$AB$33="Muy Alta",'Mapa final'!$AD$33="Moderado"),CONCATENATE("R11C",'Mapa final'!$R$33),"")</f>
        <v/>
      </c>
      <c r="S16" s="105" t="str">
        <f>IF(AND('Mapa final'!$AB$31="Muy Alta",'Mapa final'!$AD$31="Mayor"),CONCATENATE("R11C",'Mapa final'!$R$31),"")</f>
        <v/>
      </c>
      <c r="T16" s="42" t="str">
        <f>IF(AND('Mapa final'!$AB$32="Muy Alta",'Mapa final'!$AD$32="Mayor"),CONCATENATE("R11C",'Mapa final'!$R$32),"")</f>
        <v/>
      </c>
      <c r="U16" s="106" t="str">
        <f>IF(AND('Mapa final'!$AB$33="Muy Alta",'Mapa final'!$AD$33="Mayor"),CONCATENATE("R11C",'Mapa final'!$R$33),"")</f>
        <v/>
      </c>
      <c r="V16" s="43" t="str">
        <f>IF(AND('Mapa final'!$AB$31="Muy Alta",'Mapa final'!$AD$31="Catastrófico"),CONCATENATE("R11C",'Mapa final'!$R$31),"")</f>
        <v/>
      </c>
      <c r="W16" s="44" t="str">
        <f>IF(AND('Mapa final'!$AB$32="Muy Alta",'Mapa final'!$AD$32="Catastrófico"),CONCATENATE("R11C",'Mapa final'!$R$32),"")</f>
        <v/>
      </c>
      <c r="X16" s="100" t="str">
        <f>IF(AND('Mapa final'!$AB$33="Muy Alta",'Mapa final'!$AD$33="Catastrófico"),CONCATENATE("R11C",'Mapa final'!$R$33),"")</f>
        <v/>
      </c>
      <c r="Y16" s="56"/>
      <c r="Z16" s="301"/>
      <c r="AA16" s="302"/>
      <c r="AB16" s="302"/>
      <c r="AC16" s="302"/>
      <c r="AD16" s="302"/>
      <c r="AE16" s="303"/>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row>
    <row r="17" spans="1:61" ht="15" customHeight="1" x14ac:dyDescent="0.35">
      <c r="A17" s="56"/>
      <c r="B17" s="307"/>
      <c r="C17" s="307"/>
      <c r="D17" s="308"/>
      <c r="E17" s="284"/>
      <c r="F17" s="297"/>
      <c r="G17" s="297"/>
      <c r="H17" s="297"/>
      <c r="I17" s="279"/>
      <c r="J17" s="105" t="str">
        <f>IF(AND('Mapa final'!$AB$34="Muy Alta",'Mapa final'!$AD$34="Leve"),CONCATENATE("R12C",'Mapa final'!$R$34),"")</f>
        <v/>
      </c>
      <c r="K17" s="42" t="str">
        <f>IF(AND('Mapa final'!$AB$35="Muy Alta",'Mapa final'!$AD$35="Leve"),CONCATENATE("R12C",'Mapa final'!$R$35),"")</f>
        <v/>
      </c>
      <c r="L17" s="106" t="str">
        <f>IF(AND('Mapa final'!$AB$36="Muy Alta",'Mapa final'!$AD$36="Leve"),CONCATENATE("R12C",'Mapa final'!$R$36),"")</f>
        <v/>
      </c>
      <c r="M17" s="105" t="str">
        <f>IF(AND('Mapa final'!$AB$34="Muy Alta",'Mapa final'!$AD$34="Menor"),CONCATENATE("R12C",'Mapa final'!$R$34),"")</f>
        <v/>
      </c>
      <c r="N17" s="42" t="str">
        <f>IF(AND('Mapa final'!$AB$35="Muy Alta",'Mapa final'!$AD$35="Menor"),CONCATENATE("R12C",'Mapa final'!$R$35),"")</f>
        <v/>
      </c>
      <c r="O17" s="106" t="str">
        <f>IF(AND('Mapa final'!$AB$36="Muy Alta",'Mapa final'!$AD$36="Menor"),CONCATENATE("R12C",'Mapa final'!$R$36),"")</f>
        <v/>
      </c>
      <c r="P17" s="105" t="str">
        <f>IF(AND('Mapa final'!$AB$34="Muy Alta",'Mapa final'!$AD$34="Moderado"),CONCATENATE("R12C",'Mapa final'!$R$34),"")</f>
        <v/>
      </c>
      <c r="Q17" s="42" t="str">
        <f>IF(AND('Mapa final'!$AB$35="Muy Alta",'Mapa final'!$AD$35="Moderado"),CONCATENATE("R12C",'Mapa final'!$R$35),"")</f>
        <v/>
      </c>
      <c r="R17" s="106" t="str">
        <f>IF(AND('Mapa final'!$AB$36="Muy Alta",'Mapa final'!$AD$36="Moderado"),CONCATENATE("R12C",'Mapa final'!$R$36),"")</f>
        <v/>
      </c>
      <c r="S17" s="105" t="str">
        <f>IF(AND('Mapa final'!$AB$34="Muy Alta",'Mapa final'!$AD$34="Mayor"),CONCATENATE("R12C",'Mapa final'!$R$34),"")</f>
        <v/>
      </c>
      <c r="T17" s="42" t="str">
        <f>IF(AND('Mapa final'!$AB$35="Muy Alta",'Mapa final'!$AD$35="Mayor"),CONCATENATE("R12C",'Mapa final'!$R$35),"")</f>
        <v/>
      </c>
      <c r="U17" s="106" t="str">
        <f>IF(AND('Mapa final'!$AB$36="Muy Alta",'Mapa final'!$AD$36="Mayor"),CONCATENATE("R12C",'Mapa final'!$R$36),"")</f>
        <v/>
      </c>
      <c r="V17" s="43" t="str">
        <f>IF(AND('Mapa final'!$AB$34="Muy Alta",'Mapa final'!$AD$34="Catastrófico"),CONCATENATE("R12C",'Mapa final'!$R$34),"")</f>
        <v/>
      </c>
      <c r="W17" s="44" t="str">
        <f>IF(AND('Mapa final'!$AB$35="Muy Alta",'Mapa final'!$AD$35="Catastrófico"),CONCATENATE("R12C",'Mapa final'!$R$35),"")</f>
        <v/>
      </c>
      <c r="X17" s="100" t="str">
        <f>IF(AND('Mapa final'!$AB$36="Muy Alta",'Mapa final'!$AD$36="Catastrófico"),CONCATENATE("R12C",'Mapa final'!$R$36),"")</f>
        <v/>
      </c>
      <c r="Y17" s="56"/>
      <c r="Z17" s="301"/>
      <c r="AA17" s="302"/>
      <c r="AB17" s="302"/>
      <c r="AC17" s="302"/>
      <c r="AD17" s="302"/>
      <c r="AE17" s="303"/>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x14ac:dyDescent="0.35">
      <c r="A18" s="56"/>
      <c r="B18" s="307"/>
      <c r="C18" s="307"/>
      <c r="D18" s="308"/>
      <c r="E18" s="284"/>
      <c r="F18" s="297"/>
      <c r="G18" s="297"/>
      <c r="H18" s="297"/>
      <c r="I18" s="279"/>
      <c r="J18" s="105" t="str">
        <f>IF(AND('Mapa final'!$AB$37="Muy Alta",'Mapa final'!$AD$37="Leve"),CONCATENATE("R13C",'Mapa final'!$R$37),"")</f>
        <v/>
      </c>
      <c r="K18" s="42" t="str">
        <f>IF(AND('Mapa final'!$AB$38="Muy Alta",'Mapa final'!$AD$38="Leve"),CONCATENATE("R13C",'Mapa final'!$R$38),"")</f>
        <v/>
      </c>
      <c r="L18" s="106" t="str">
        <f>IF(AND('Mapa final'!$AB$39="Muy Alta",'Mapa final'!$AD$39="Leve"),CONCATENATE("R13C",'Mapa final'!$R$39),"")</f>
        <v/>
      </c>
      <c r="M18" s="105" t="str">
        <f>IF(AND('Mapa final'!$AB$37="Muy Alta",'Mapa final'!$AD$37="Menor"),CONCATENATE("R13C",'Mapa final'!$R$37),"")</f>
        <v/>
      </c>
      <c r="N18" s="42" t="str">
        <f>IF(AND('Mapa final'!$AB$38="Muy Alta",'Mapa final'!$AD$38="Menor"),CONCATENATE("R13C",'Mapa final'!$R$38),"")</f>
        <v/>
      </c>
      <c r="O18" s="106" t="str">
        <f>IF(AND('Mapa final'!$AB$39="Muy Alta",'Mapa final'!$AD$39="Menor"),CONCATENATE("R13C",'Mapa final'!$R$39),"")</f>
        <v/>
      </c>
      <c r="P18" s="105" t="str">
        <f>IF(AND('Mapa final'!$AB$37="Muy Alta",'Mapa final'!$AD$37="Moderado"),CONCATENATE("R13C",'Mapa final'!$R$37),"")</f>
        <v/>
      </c>
      <c r="Q18" s="42" t="str">
        <f>IF(AND('Mapa final'!$AB$38="Muy Alta",'Mapa final'!$AD$38="Moderado"),CONCATENATE("R13C",'Mapa final'!$R$38),"")</f>
        <v/>
      </c>
      <c r="R18" s="106" t="str">
        <f>IF(AND('Mapa final'!$AB$39="Muy Alta",'Mapa final'!$AD$39="Moderado"),CONCATENATE("R13C",'Mapa final'!$R$39),"")</f>
        <v/>
      </c>
      <c r="S18" s="105" t="str">
        <f>IF(AND('Mapa final'!$AB$37="Muy Alta",'Mapa final'!$AD$37="Mayor"),CONCATENATE("R13C",'Mapa final'!$R$37),"")</f>
        <v/>
      </c>
      <c r="T18" s="42" t="str">
        <f>IF(AND('Mapa final'!$AB$38="Muy Alta",'Mapa final'!$AD$38="Mayor"),CONCATENATE("R13C",'Mapa final'!$R$38),"")</f>
        <v/>
      </c>
      <c r="U18" s="106" t="str">
        <f>IF(AND('Mapa final'!$AB$39="Muy Alta",'Mapa final'!$AD$39="Mayor"),CONCATENATE("R13C",'Mapa final'!$R$39),"")</f>
        <v/>
      </c>
      <c r="V18" s="43" t="str">
        <f>IF(AND('Mapa final'!$AB$37="Muy Alta",'Mapa final'!$AD$37="Catastrófico"),CONCATENATE("R13C",'Mapa final'!$R$37),"")</f>
        <v/>
      </c>
      <c r="W18" s="44" t="str">
        <f>IF(AND('Mapa final'!$AB$38="Muy Alta",'Mapa final'!$AD$38="Catastrófico"),CONCATENATE("R13C",'Mapa final'!$R$38),"")</f>
        <v/>
      </c>
      <c r="X18" s="100" t="str">
        <f>IF(AND('Mapa final'!$AB$39="Muy Alta",'Mapa final'!$AD$39="Catastrófico"),CONCATENATE("R13C",'Mapa final'!$R$39),"")</f>
        <v/>
      </c>
      <c r="Y18" s="56"/>
      <c r="Z18" s="301"/>
      <c r="AA18" s="302"/>
      <c r="AB18" s="302"/>
      <c r="AC18" s="302"/>
      <c r="AD18" s="302"/>
      <c r="AE18" s="303"/>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1:61" ht="15" customHeight="1" x14ac:dyDescent="0.35">
      <c r="A19" s="56"/>
      <c r="B19" s="307"/>
      <c r="C19" s="307"/>
      <c r="D19" s="308"/>
      <c r="E19" s="284"/>
      <c r="F19" s="297"/>
      <c r="G19" s="297"/>
      <c r="H19" s="297"/>
      <c r="I19" s="279"/>
      <c r="J19" s="105" t="str">
        <f>IF(AND('Mapa final'!$AB$40="Muy Alta",'Mapa final'!$AD$40="Leve"),CONCATENATE("R14C",'Mapa final'!$R$40),"")</f>
        <v/>
      </c>
      <c r="K19" s="42" t="str">
        <f>IF(AND('Mapa final'!$AB$41="Muy Alta",'Mapa final'!$AD$41="Leve"),CONCATENATE("R14C",'Mapa final'!$R$41),"")</f>
        <v/>
      </c>
      <c r="L19" s="106" t="str">
        <f>IF(AND('Mapa final'!$AB$42="Muy Alta",'Mapa final'!$AD$42="Leve"),CONCATENATE("R14C",'Mapa final'!$R$42),"")</f>
        <v/>
      </c>
      <c r="M19" s="105" t="str">
        <f>IF(AND('Mapa final'!$AB$40="Muy Alta",'Mapa final'!$AD$40="Menor"),CONCATENATE("R14C",'Mapa final'!$R$40),"")</f>
        <v/>
      </c>
      <c r="N19" s="42" t="str">
        <f>IF(AND('Mapa final'!$AB$41="Muy Alta",'Mapa final'!$AD$41="Menor"),CONCATENATE("R14C",'Mapa final'!$R$41),"")</f>
        <v/>
      </c>
      <c r="O19" s="106" t="str">
        <f>IF(AND('Mapa final'!$AB$42="Muy Alta",'Mapa final'!$AD$42="Menor"),CONCATENATE("R14C",'Mapa final'!$R$42),"")</f>
        <v/>
      </c>
      <c r="P19" s="105" t="str">
        <f>IF(AND('Mapa final'!$AB$40="Muy Alta",'Mapa final'!$AD$40="Moderado"),CONCATENATE("R14C",'Mapa final'!$R$40),"")</f>
        <v/>
      </c>
      <c r="Q19" s="42" t="str">
        <f>IF(AND('Mapa final'!$AB$41="Muy Alta",'Mapa final'!$AD$41="Moderado"),CONCATENATE("R14C",'Mapa final'!$R$41),"")</f>
        <v/>
      </c>
      <c r="R19" s="106" t="str">
        <f>IF(AND('Mapa final'!$AB$42="Muy Alta",'Mapa final'!$AD$42="Moderado"),CONCATENATE("R14C",'Mapa final'!$R$42),"")</f>
        <v/>
      </c>
      <c r="S19" s="105" t="str">
        <f>IF(AND('Mapa final'!$AB$40="Muy Alta",'Mapa final'!$AD$40="Mayor"),CONCATENATE("R14C",'Mapa final'!$R$40),"")</f>
        <v/>
      </c>
      <c r="T19" s="42" t="str">
        <f>IF(AND('Mapa final'!$AB$41="Muy Alta",'Mapa final'!$AD$41="Mayor"),CONCATENATE("R14C",'Mapa final'!$R$41),"")</f>
        <v/>
      </c>
      <c r="U19" s="106" t="str">
        <f>IF(AND('Mapa final'!$AB$42="Muy Alta",'Mapa final'!$AD$42="Mayor"),CONCATENATE("R14C",'Mapa final'!$R$42),"")</f>
        <v/>
      </c>
      <c r="V19" s="43" t="str">
        <f>IF(AND('Mapa final'!$AB$40="Muy Alta",'Mapa final'!$AD$40="Catastrófico"),CONCATENATE("R14C",'Mapa final'!$R$40),"")</f>
        <v/>
      </c>
      <c r="W19" s="44" t="str">
        <f>IF(AND('Mapa final'!$AB$41="Muy Alta",'Mapa final'!$AD$41="Catastrófico"),CONCATENATE("R14C",'Mapa final'!$R$41),"")</f>
        <v/>
      </c>
      <c r="X19" s="100" t="str">
        <f>IF(AND('Mapa final'!$AB$42="Muy Alta",'Mapa final'!$AD$42="Catastrófico"),CONCATENATE("R14C",'Mapa final'!$R$42),"")</f>
        <v/>
      </c>
      <c r="Y19" s="56"/>
      <c r="Z19" s="301"/>
      <c r="AA19" s="302"/>
      <c r="AB19" s="302"/>
      <c r="AC19" s="302"/>
      <c r="AD19" s="302"/>
      <c r="AE19" s="303"/>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row>
    <row r="20" spans="1:61" ht="15" customHeight="1" x14ac:dyDescent="0.35">
      <c r="A20" s="56"/>
      <c r="B20" s="307"/>
      <c r="C20" s="307"/>
      <c r="D20" s="308"/>
      <c r="E20" s="284"/>
      <c r="F20" s="297"/>
      <c r="G20" s="297"/>
      <c r="H20" s="297"/>
      <c r="I20" s="279"/>
      <c r="J20" s="105" t="str">
        <f>IF(AND('Mapa final'!$AB$43="Muy Alta",'Mapa final'!$AD$43="Leve"),CONCATENATE("R15C",'Mapa final'!$R$43),"")</f>
        <v/>
      </c>
      <c r="K20" s="42" t="str">
        <f>IF(AND('Mapa final'!$AB$44="Muy Alta",'Mapa final'!$AD$44="Leve"),CONCATENATE("R15C",'Mapa final'!$R$44),"")</f>
        <v/>
      </c>
      <c r="L20" s="106" t="str">
        <f>IF(AND('Mapa final'!$AB$45="Muy Alta",'Mapa final'!$AD$45="Leve"),CONCATENATE("R15C",'Mapa final'!$R$45),"")</f>
        <v/>
      </c>
      <c r="M20" s="105" t="str">
        <f>IF(AND('Mapa final'!$AB$43="Muy Alta",'Mapa final'!$AD$43="Menor"),CONCATENATE("R15C",'Mapa final'!$R$43),"")</f>
        <v/>
      </c>
      <c r="N20" s="42" t="str">
        <f>IF(AND('Mapa final'!$AB$44="Muy Alta",'Mapa final'!$AD$44="Menor"),CONCATENATE("R15C",'Mapa final'!$R$44),"")</f>
        <v/>
      </c>
      <c r="O20" s="106" t="str">
        <f>IF(AND('Mapa final'!$AB$45="Muy Alta",'Mapa final'!$AD$45="Menor"),CONCATENATE("R15C",'Mapa final'!$R$45),"")</f>
        <v/>
      </c>
      <c r="P20" s="105" t="str">
        <f>IF(AND('Mapa final'!$AB$43="Muy Alta",'Mapa final'!$AD$43="Moderado"),CONCATENATE("R15C",'Mapa final'!$R$43),"")</f>
        <v/>
      </c>
      <c r="Q20" s="42" t="str">
        <f>IF(AND('Mapa final'!$AB$44="Muy Alta",'Mapa final'!$AD$44="Moderado"),CONCATENATE("R15C",'Mapa final'!$R$44),"")</f>
        <v/>
      </c>
      <c r="R20" s="106" t="str">
        <f>IF(AND('Mapa final'!$AB$45="Muy Alta",'Mapa final'!$AD$45="Moderado"),CONCATENATE("R15C",'Mapa final'!$R$45),"")</f>
        <v/>
      </c>
      <c r="S20" s="105" t="str">
        <f>IF(AND('Mapa final'!$AB$43="Muy Alta",'Mapa final'!$AD$43="Mayor"),CONCATENATE("R15C",'Mapa final'!$R$43),"")</f>
        <v/>
      </c>
      <c r="T20" s="42" t="str">
        <f>IF(AND('Mapa final'!$AB$44="Muy Alta",'Mapa final'!$AD$44="Mayor"),CONCATENATE("R15C",'Mapa final'!$R$44),"")</f>
        <v/>
      </c>
      <c r="U20" s="106" t="str">
        <f>IF(AND('Mapa final'!$AB$45="Muy Alta",'Mapa final'!$AD$45="Mayor"),CONCATENATE("R15C",'Mapa final'!$R$45),"")</f>
        <v/>
      </c>
      <c r="V20" s="43" t="str">
        <f>IF(AND('Mapa final'!$AB$43="Muy Alta",'Mapa final'!$AD$43="Catastrófico"),CONCATENATE("R15C",'Mapa final'!$R$43),"")</f>
        <v/>
      </c>
      <c r="W20" s="44" t="str">
        <f>IF(AND('Mapa final'!$AB$44="Muy Alta",'Mapa final'!$AD$44="Catastrófico"),CONCATENATE("R15C",'Mapa final'!$R$44),"")</f>
        <v/>
      </c>
      <c r="X20" s="100" t="str">
        <f>IF(AND('Mapa final'!$AB$45="Muy Alta",'Mapa final'!$AD$45="Catastrófico"),CONCATENATE("R15C",'Mapa final'!$R$45),"")</f>
        <v/>
      </c>
      <c r="Y20" s="56"/>
      <c r="Z20" s="301"/>
      <c r="AA20" s="302"/>
      <c r="AB20" s="302"/>
      <c r="AC20" s="302"/>
      <c r="AD20" s="302"/>
      <c r="AE20" s="303"/>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row>
    <row r="21" spans="1:61" ht="15" customHeight="1" x14ac:dyDescent="0.35">
      <c r="A21" s="56"/>
      <c r="B21" s="307"/>
      <c r="C21" s="307"/>
      <c r="D21" s="308"/>
      <c r="E21" s="284"/>
      <c r="F21" s="297"/>
      <c r="G21" s="297"/>
      <c r="H21" s="297"/>
      <c r="I21" s="279"/>
      <c r="J21" s="105" t="str">
        <f>IF(AND('Mapa final'!$AB$46="Muy Alta",'Mapa final'!$AD$46="Leve"),CONCATENATE("R16C",'Mapa final'!$R$46),"")</f>
        <v/>
      </c>
      <c r="K21" s="42" t="str">
        <f>IF(AND('Mapa final'!$AB$47="Muy Alta",'Mapa final'!$AD$47="Leve"),CONCATENATE("R16C",'Mapa final'!$R$47),"")</f>
        <v/>
      </c>
      <c r="L21" s="106" t="str">
        <f>IF(AND('Mapa final'!$AB$48="Muy Alta",'Mapa final'!$AD$48="Leve"),CONCATENATE("R16C",'Mapa final'!$R$48),"")</f>
        <v/>
      </c>
      <c r="M21" s="105" t="str">
        <f>IF(AND('Mapa final'!$AB$46="Muy Alta",'Mapa final'!$AD$46="Menor"),CONCATENATE("R16C",'Mapa final'!$R$46),"")</f>
        <v/>
      </c>
      <c r="N21" s="42" t="str">
        <f>IF(AND('Mapa final'!$AB$47="Muy Alta",'Mapa final'!$AD$47="Menor"),CONCATENATE("R16C",'Mapa final'!$R$47),"")</f>
        <v/>
      </c>
      <c r="O21" s="106" t="str">
        <f>IF(AND('Mapa final'!$AB$48="Muy Alta",'Mapa final'!$AD$48="Menor"),CONCATENATE("R16C",'Mapa final'!$R$48),"")</f>
        <v/>
      </c>
      <c r="P21" s="105" t="str">
        <f>IF(AND('Mapa final'!$AB$46="Muy Alta",'Mapa final'!$AD$46="Moderado"),CONCATENATE("R16C",'Mapa final'!$R$46),"")</f>
        <v/>
      </c>
      <c r="Q21" s="42" t="str">
        <f>IF(AND('Mapa final'!$AB$47="Muy Alta",'Mapa final'!$AD$47="Moderado"),CONCATENATE("R16C",'Mapa final'!$R$47),"")</f>
        <v/>
      </c>
      <c r="R21" s="106" t="str">
        <f>IF(AND('Mapa final'!$AB$48="Muy Alta",'Mapa final'!$AD$48="Moderado"),CONCATENATE("R16C",'Mapa final'!$R$48),"")</f>
        <v/>
      </c>
      <c r="S21" s="105" t="str">
        <f>IF(AND('Mapa final'!$AB$46="Muy Alta",'Mapa final'!$AD$46="Mayor"),CONCATENATE("R16C",'Mapa final'!$R$46),"")</f>
        <v/>
      </c>
      <c r="T21" s="42" t="str">
        <f>IF(AND('Mapa final'!$AB$47="Muy Alta",'Mapa final'!$AD$47="Mayor"),CONCATENATE("R16C",'Mapa final'!$R$47),"")</f>
        <v/>
      </c>
      <c r="U21" s="106" t="str">
        <f>IF(AND('Mapa final'!$AB$48="Muy Alta",'Mapa final'!$AD$48="Mayor"),CONCATENATE("R16C",'Mapa final'!$R$48),"")</f>
        <v/>
      </c>
      <c r="V21" s="43" t="str">
        <f>IF(AND('Mapa final'!$AB$46="Muy Alta",'Mapa final'!$AD$46="Catastrófico"),CONCATENATE("R16C",'Mapa final'!$R$46),"")</f>
        <v/>
      </c>
      <c r="W21" s="44" t="str">
        <f>IF(AND('Mapa final'!$AB$47="Muy Alta",'Mapa final'!$AD$47="Catastrófico"),CONCATENATE("R16C",'Mapa final'!$R$47),"")</f>
        <v/>
      </c>
      <c r="X21" s="100" t="str">
        <f>IF(AND('Mapa final'!$AB$48="Muy Alta",'Mapa final'!$AD$48="Catastrófico"),CONCATENATE("R16C",'Mapa final'!$R$48),"")</f>
        <v/>
      </c>
      <c r="Y21" s="56"/>
      <c r="Z21" s="301"/>
      <c r="AA21" s="302"/>
      <c r="AB21" s="302"/>
      <c r="AC21" s="302"/>
      <c r="AD21" s="302"/>
      <c r="AE21" s="303"/>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row>
    <row r="22" spans="1:61" ht="15" customHeight="1" x14ac:dyDescent="0.35">
      <c r="A22" s="56"/>
      <c r="B22" s="307"/>
      <c r="C22" s="307"/>
      <c r="D22" s="308"/>
      <c r="E22" s="284"/>
      <c r="F22" s="297"/>
      <c r="G22" s="297"/>
      <c r="H22" s="297"/>
      <c r="I22" s="279"/>
      <c r="J22" s="105" t="str">
        <f>IF(AND('Mapa final'!$AB$49="Muy Alta",'Mapa final'!$AD$49="Leve"),CONCATENATE("R17C",'Mapa final'!$R$49),"")</f>
        <v/>
      </c>
      <c r="K22" s="42" t="str">
        <f>IF(AND('Mapa final'!$AB$50="Muy Alta",'Mapa final'!$AD$50="Leve"),CONCATENATE("R17C",'Mapa final'!$R$50),"")</f>
        <v/>
      </c>
      <c r="L22" s="106" t="str">
        <f>IF(AND('Mapa final'!$AB$51="Muy Alta",'Mapa final'!$AD$51="Leve"),CONCATENATE("R17C",'Mapa final'!$R$51),"")</f>
        <v/>
      </c>
      <c r="M22" s="105" t="str">
        <f>IF(AND('Mapa final'!$AB$49="Muy Alta",'Mapa final'!$AD$49="Menor"),CONCATENATE("R17C",'Mapa final'!$R$49),"")</f>
        <v/>
      </c>
      <c r="N22" s="42" t="str">
        <f>IF(AND('Mapa final'!$AB$50="Muy Alta",'Mapa final'!$AD$50="Menor"),CONCATENATE("R17C",'Mapa final'!$R$50),"")</f>
        <v/>
      </c>
      <c r="O22" s="106" t="str">
        <f>IF(AND('Mapa final'!$AB$51="Muy Alta",'Mapa final'!$AD$51="Menor"),CONCATENATE("R17C",'Mapa final'!$R$51),"")</f>
        <v/>
      </c>
      <c r="P22" s="105" t="str">
        <f>IF(AND('Mapa final'!$AB$49="Muy Alta",'Mapa final'!$AD$49="Moderado"),CONCATENATE("R17C",'Mapa final'!$R$49),"")</f>
        <v/>
      </c>
      <c r="Q22" s="42" t="str">
        <f>IF(AND('Mapa final'!$AB$50="Muy Alta",'Mapa final'!$AD$50="Moderado"),CONCATENATE("R17C",'Mapa final'!$R$50),"")</f>
        <v/>
      </c>
      <c r="R22" s="106" t="str">
        <f>IF(AND('Mapa final'!$AB$51="Muy Alta",'Mapa final'!$AD$51="Moderado"),CONCATENATE("R17C",'Mapa final'!$R$51),"")</f>
        <v/>
      </c>
      <c r="S22" s="105" t="str">
        <f>IF(AND('Mapa final'!$AB$49="Muy Alta",'Mapa final'!$AD$49="Mayor"),CONCATENATE("R17C",'Mapa final'!$R$49),"")</f>
        <v/>
      </c>
      <c r="T22" s="42" t="str">
        <f>IF(AND('Mapa final'!$AB$50="Muy Alta",'Mapa final'!$AD$50="Mayor"),CONCATENATE("R17C",'Mapa final'!$R$50),"")</f>
        <v/>
      </c>
      <c r="U22" s="106" t="str">
        <f>IF(AND('Mapa final'!$AB$51="Muy Alta",'Mapa final'!$AD$51="Mayor"),CONCATENATE("R17C",'Mapa final'!$R$51),"")</f>
        <v/>
      </c>
      <c r="V22" s="43" t="str">
        <f>IF(AND('Mapa final'!$AB$49="Muy Alta",'Mapa final'!$AD$49="Catastrófico"),CONCATENATE("R17C",'Mapa final'!$R$49),"")</f>
        <v/>
      </c>
      <c r="W22" s="44" t="str">
        <f>IF(AND('Mapa final'!$AB$50="Muy Alta",'Mapa final'!$AD$50="Catastrófico"),CONCATENATE("R17C",'Mapa final'!$R$50),"")</f>
        <v/>
      </c>
      <c r="X22" s="100" t="str">
        <f>IF(AND('Mapa final'!$AB$51="Muy Alta",'Mapa final'!$AD$51="Catastrófico"),CONCATENATE("R17C",'Mapa final'!$R$51),"")</f>
        <v/>
      </c>
      <c r="Y22" s="56"/>
      <c r="Z22" s="301"/>
      <c r="AA22" s="302"/>
      <c r="AB22" s="302"/>
      <c r="AC22" s="302"/>
      <c r="AD22" s="302"/>
      <c r="AE22" s="303"/>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row>
    <row r="23" spans="1:61" ht="15" customHeight="1" x14ac:dyDescent="0.35">
      <c r="A23" s="56"/>
      <c r="B23" s="307"/>
      <c r="C23" s="307"/>
      <c r="D23" s="308"/>
      <c r="E23" s="284"/>
      <c r="F23" s="297"/>
      <c r="G23" s="297"/>
      <c r="H23" s="297"/>
      <c r="I23" s="279"/>
      <c r="J23" s="105" t="str">
        <f>IF(AND('Mapa final'!$AB$52="Muy Alta",'Mapa final'!$AD$52="Leve"),CONCATENATE("R18C",'Mapa final'!$R$52),"")</f>
        <v/>
      </c>
      <c r="K23" s="42" t="str">
        <f>IF(AND('Mapa final'!$AB$53="Muy Alta",'Mapa final'!$AD$53="Leve"),CONCATENATE("R18C",'Mapa final'!$R$53),"")</f>
        <v/>
      </c>
      <c r="L23" s="106" t="str">
        <f>IF(AND('Mapa final'!$AB$54="Muy Alta",'Mapa final'!$AD$54="Leve"),CONCATENATE("R18C",'Mapa final'!$R$54),"")</f>
        <v/>
      </c>
      <c r="M23" s="105" t="str">
        <f>IF(AND('Mapa final'!$AB$52="Muy Alta",'Mapa final'!$AD$52="Menor"),CONCATENATE("R18C",'Mapa final'!$R$52),"")</f>
        <v/>
      </c>
      <c r="N23" s="42" t="str">
        <f>IF(AND('Mapa final'!$AB$53="Muy Alta",'Mapa final'!$AD$53="Menor"),CONCATENATE("R18C",'Mapa final'!$R$53),"")</f>
        <v/>
      </c>
      <c r="O23" s="106" t="str">
        <f>IF(AND('Mapa final'!$AB$54="Muy Alta",'Mapa final'!$AD$54="Menor"),CONCATENATE("R18C",'Mapa final'!$R$54),"")</f>
        <v/>
      </c>
      <c r="P23" s="105" t="str">
        <f>IF(AND('Mapa final'!$AB$52="Muy Alta",'Mapa final'!$AD$52="Moderado"),CONCATENATE("R18C",'Mapa final'!$R$52),"")</f>
        <v/>
      </c>
      <c r="Q23" s="42" t="str">
        <f>IF(AND('Mapa final'!$AB$53="Muy Alta",'Mapa final'!$AD$53="Moderado"),CONCATENATE("R18C",'Mapa final'!$R$53),"")</f>
        <v/>
      </c>
      <c r="R23" s="106" t="str">
        <f>IF(AND('Mapa final'!$AB$54="Muy Alta",'Mapa final'!$AD$54="Moderado"),CONCATENATE("R18C",'Mapa final'!$R$54),"")</f>
        <v/>
      </c>
      <c r="S23" s="105" t="str">
        <f>IF(AND('Mapa final'!$AB$52="Muy Alta",'Mapa final'!$AD$52="Mayor"),CONCATENATE("R18C",'Mapa final'!$R$52),"")</f>
        <v/>
      </c>
      <c r="T23" s="42" t="str">
        <f>IF(AND('Mapa final'!$AB$53="Muy Alta",'Mapa final'!$AD$53="Mayor"),CONCATENATE("R18C",'Mapa final'!$R$53),"")</f>
        <v/>
      </c>
      <c r="U23" s="106" t="str">
        <f>IF(AND('Mapa final'!$AB$54="Muy Alta",'Mapa final'!$AD$54="Mayor"),CONCATENATE("R18C",'Mapa final'!$R$54),"")</f>
        <v/>
      </c>
      <c r="V23" s="43" t="str">
        <f>IF(AND('Mapa final'!$AB$52="Muy Alta",'Mapa final'!$AD$52="Catastrófico"),CONCATENATE("R18C",'Mapa final'!$R$52),"")</f>
        <v/>
      </c>
      <c r="W23" s="44" t="str">
        <f>IF(AND('Mapa final'!$AB$53="Muy Alta",'Mapa final'!$AD$53="Catastrófico"),CONCATENATE("R18C",'Mapa final'!$R$53),"")</f>
        <v/>
      </c>
      <c r="X23" s="100" t="str">
        <f>IF(AND('Mapa final'!$AB$54="Muy Alta",'Mapa final'!$AD$54="Catastrófico"),CONCATENATE("R18C",'Mapa final'!$R$54),"")</f>
        <v/>
      </c>
      <c r="Y23" s="56"/>
      <c r="Z23" s="301"/>
      <c r="AA23" s="302"/>
      <c r="AB23" s="302"/>
      <c r="AC23" s="302"/>
      <c r="AD23" s="302"/>
      <c r="AE23" s="303"/>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row>
    <row r="24" spans="1:61" ht="15" customHeight="1" x14ac:dyDescent="0.35">
      <c r="A24" s="56"/>
      <c r="B24" s="307"/>
      <c r="C24" s="307"/>
      <c r="D24" s="308"/>
      <c r="E24" s="284"/>
      <c r="F24" s="297"/>
      <c r="G24" s="297"/>
      <c r="H24" s="297"/>
      <c r="I24" s="279"/>
      <c r="J24" s="105" t="str">
        <f>IF(AND('Mapa final'!$AB$55="Muy Alta",'Mapa final'!$AD$55="Leve"),CONCATENATE("R19C",'Mapa final'!$R$55),"")</f>
        <v/>
      </c>
      <c r="K24" s="42" t="str">
        <f>IF(AND('Mapa final'!$AB$56="Muy Alta",'Mapa final'!$AD$56="Leve"),CONCATENATE("R19C",'Mapa final'!$R$56),"")</f>
        <v/>
      </c>
      <c r="L24" s="106" t="str">
        <f>IF(AND('Mapa final'!$AB$57="Muy Alta",'Mapa final'!$AD$57="Leve"),CONCATENATE("R19C",'Mapa final'!$R$57),"")</f>
        <v/>
      </c>
      <c r="M24" s="105" t="str">
        <f>IF(AND('Mapa final'!$AB$55="Muy Alta",'Mapa final'!$AD$55="Menor"),CONCATENATE("R19C",'Mapa final'!$R$55),"")</f>
        <v/>
      </c>
      <c r="N24" s="42" t="str">
        <f>IF(AND('Mapa final'!$AB$56="Muy Alta",'Mapa final'!$AD$56="Menor"),CONCATENATE("R19C",'Mapa final'!$R$56),"")</f>
        <v/>
      </c>
      <c r="O24" s="106" t="str">
        <f>IF(AND('Mapa final'!$AB$57="Muy Alta",'Mapa final'!$AD$57="Menor"),CONCATENATE("R19C",'Mapa final'!$R$57),"")</f>
        <v/>
      </c>
      <c r="P24" s="105" t="str">
        <f>IF(AND('Mapa final'!$AB$55="Muy Alta",'Mapa final'!$AD$55="Moderado"),CONCATENATE("R19C",'Mapa final'!$R$55),"")</f>
        <v/>
      </c>
      <c r="Q24" s="42" t="str">
        <f>IF(AND('Mapa final'!$AB$56="Muy Alta",'Mapa final'!$AD$56="Moderado"),CONCATENATE("R19C",'Mapa final'!$R$56),"")</f>
        <v/>
      </c>
      <c r="R24" s="106" t="str">
        <f>IF(AND('Mapa final'!$AB$57="Muy Alta",'Mapa final'!$AD$57="Moderado"),CONCATENATE("R19C",'Mapa final'!$R$57),"")</f>
        <v/>
      </c>
      <c r="S24" s="105" t="str">
        <f>IF(AND('Mapa final'!$AB$55="Muy Alta",'Mapa final'!$AD$55="Mayor"),CONCATENATE("R19C",'Mapa final'!$R$55),"")</f>
        <v/>
      </c>
      <c r="T24" s="42" t="str">
        <f>IF(AND('Mapa final'!$AB$56="Muy Alta",'Mapa final'!$AD$56="Mayor"),CONCATENATE("R19C",'Mapa final'!$R$56),"")</f>
        <v/>
      </c>
      <c r="U24" s="106" t="str">
        <f>IF(AND('Mapa final'!$AB$57="Muy Alta",'Mapa final'!$AD$57="Mayor"),CONCATENATE("R19C",'Mapa final'!$R$57),"")</f>
        <v/>
      </c>
      <c r="V24" s="43" t="str">
        <f>IF(AND('Mapa final'!$AB$55="Muy Alta",'Mapa final'!$AD$55="Catastrófico"),CONCATENATE("R19C",'Mapa final'!$R$55),"")</f>
        <v/>
      </c>
      <c r="W24" s="44" t="str">
        <f>IF(AND('Mapa final'!$AB$56="Muy Alta",'Mapa final'!$AD$56="Catastrófico"),CONCATENATE("R19C",'Mapa final'!$R$56),"")</f>
        <v/>
      </c>
      <c r="X24" s="100" t="str">
        <f>IF(AND('Mapa final'!$AB$57="Muy Alta",'Mapa final'!$AD$57="Catastrófico"),CONCATENATE("R19C",'Mapa final'!$R$57),"")</f>
        <v/>
      </c>
      <c r="Y24" s="56"/>
      <c r="Z24" s="301"/>
      <c r="AA24" s="302"/>
      <c r="AB24" s="302"/>
      <c r="AC24" s="302"/>
      <c r="AD24" s="302"/>
      <c r="AE24" s="303"/>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x14ac:dyDescent="0.35">
      <c r="A25" s="56"/>
      <c r="B25" s="307"/>
      <c r="C25" s="307"/>
      <c r="D25" s="308"/>
      <c r="E25" s="284"/>
      <c r="F25" s="297"/>
      <c r="G25" s="297"/>
      <c r="H25" s="297"/>
      <c r="I25" s="279"/>
      <c r="J25" s="105" t="str">
        <f>IF(AND('Mapa final'!$AB$58="Muy Alta",'Mapa final'!$AD$58="Leve"),CONCATENATE("R20C",'Mapa final'!$R$58),"")</f>
        <v/>
      </c>
      <c r="K25" s="42" t="str">
        <f>IF(AND('Mapa final'!$AB$59="Muy Alta",'Mapa final'!$AD$59="Leve"),CONCATENATE("R20C",'Mapa final'!$R$59),"")</f>
        <v/>
      </c>
      <c r="L25" s="106" t="str">
        <f>IF(AND('Mapa final'!$AB$60="Muy Alta",'Mapa final'!$AD$60="Leve"),CONCATENATE("R20C",'Mapa final'!$R$60),"")</f>
        <v/>
      </c>
      <c r="M25" s="105" t="str">
        <f>IF(AND('Mapa final'!$AB$58="Muy Alta",'Mapa final'!$AD$58="Menor"),CONCATENATE("R20C",'Mapa final'!$R$58),"")</f>
        <v/>
      </c>
      <c r="N25" s="42" t="str">
        <f>IF(AND('Mapa final'!$AB$59="Muy Alta",'Mapa final'!$AD$59="Menor"),CONCATENATE("R20C",'Mapa final'!$R$59),"")</f>
        <v/>
      </c>
      <c r="O25" s="106" t="str">
        <f>IF(AND('Mapa final'!$AB$60="Muy Alta",'Mapa final'!$AD$60="Menor"),CONCATENATE("R20C",'Mapa final'!$R$60),"")</f>
        <v/>
      </c>
      <c r="P25" s="105" t="str">
        <f>IF(AND('Mapa final'!$AB$58="Muy Alta",'Mapa final'!$AD$58="Moderado"),CONCATENATE("R20C",'Mapa final'!$R$58),"")</f>
        <v/>
      </c>
      <c r="Q25" s="42" t="str">
        <f>IF(AND('Mapa final'!$AB$59="Muy Alta",'Mapa final'!$AD$59="Moderado"),CONCATENATE("R20C",'Mapa final'!$R$59),"")</f>
        <v/>
      </c>
      <c r="R25" s="106" t="str">
        <f>IF(AND('Mapa final'!$AB$60="Muy Alta",'Mapa final'!$AD$60="Moderado"),CONCATENATE("R20C",'Mapa final'!$R$60),"")</f>
        <v/>
      </c>
      <c r="S25" s="105" t="str">
        <f>IF(AND('Mapa final'!$AB$58="Muy Alta",'Mapa final'!$AD$58="Mayor"),CONCATENATE("R20C",'Mapa final'!$R$58),"")</f>
        <v/>
      </c>
      <c r="T25" s="42" t="str">
        <f>IF(AND('Mapa final'!$AB$59="Muy Alta",'Mapa final'!$AD$59="Mayor"),CONCATENATE("R20C",'Mapa final'!$R$59),"")</f>
        <v/>
      </c>
      <c r="U25" s="106" t="str">
        <f>IF(AND('Mapa final'!$AB$60="Muy Alta",'Mapa final'!$AD$60="Mayor"),CONCATENATE("R20C",'Mapa final'!$R$60),"")</f>
        <v/>
      </c>
      <c r="V25" s="43" t="str">
        <f>IF(AND('Mapa final'!$AB$58="Muy Alta",'Mapa final'!$AD$58="Catastrófico"),CONCATENATE("R20C",'Mapa final'!$R$58),"")</f>
        <v/>
      </c>
      <c r="W25" s="44" t="str">
        <f>IF(AND('Mapa final'!$AB$59="Muy Alta",'Mapa final'!$AD$59="Catastrófico"),CONCATENATE("R20C",'Mapa final'!$R$59),"")</f>
        <v/>
      </c>
      <c r="X25" s="100" t="str">
        <f>IF(AND('Mapa final'!$AB$60="Muy Alta",'Mapa final'!$AD$60="Catastrófico"),CONCATENATE("R20C",'Mapa final'!$R$60),"")</f>
        <v/>
      </c>
      <c r="Y25" s="56"/>
      <c r="Z25" s="301"/>
      <c r="AA25" s="302"/>
      <c r="AB25" s="302"/>
      <c r="AC25" s="302"/>
      <c r="AD25" s="302"/>
      <c r="AE25" s="303"/>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row>
    <row r="26" spans="1:61" ht="15" customHeight="1" x14ac:dyDescent="0.35">
      <c r="A26" s="56"/>
      <c r="B26" s="307"/>
      <c r="C26" s="307"/>
      <c r="D26" s="308"/>
      <c r="E26" s="284"/>
      <c r="F26" s="297"/>
      <c r="G26" s="297"/>
      <c r="H26" s="297"/>
      <c r="I26" s="279"/>
      <c r="J26" s="105" t="str">
        <f>IF(AND('Mapa final'!$AB$61="Muy Alta",'Mapa final'!$AD$61="Leve"),CONCATENATE("R21C",'Mapa final'!$R$61),"")</f>
        <v/>
      </c>
      <c r="K26" s="42" t="str">
        <f>IF(AND('Mapa final'!$AB$62="Muy Alta",'Mapa final'!$AD$62="Leve"),CONCATENATE("R21C",'Mapa final'!$R$62),"")</f>
        <v/>
      </c>
      <c r="L26" s="106" t="str">
        <f>IF(AND('Mapa final'!$AB$63="Muy Alta",'Mapa final'!$AD$63="Leve"),CONCATENATE("R21C",'Mapa final'!$R$63),"")</f>
        <v/>
      </c>
      <c r="M26" s="105" t="str">
        <f>IF(AND('Mapa final'!$AB$61="Muy Alta",'Mapa final'!$AD$61="Menor"),CONCATENATE("R21C",'Mapa final'!$R$61),"")</f>
        <v/>
      </c>
      <c r="N26" s="42" t="str">
        <f>IF(AND('Mapa final'!$AB$62="Muy Alta",'Mapa final'!$AD$62="Menor"),CONCATENATE("R21C",'Mapa final'!$R$62),"")</f>
        <v/>
      </c>
      <c r="O26" s="106" t="str">
        <f>IF(AND('Mapa final'!$AB$63="Muy Alta",'Mapa final'!$AD$63="Menor"),CONCATENATE("R21C",'Mapa final'!$R$63),"")</f>
        <v/>
      </c>
      <c r="P26" s="105" t="str">
        <f>IF(AND('Mapa final'!$AB$61="Muy Alta",'Mapa final'!$AD$61="Moderado"),CONCATENATE("R21C",'Mapa final'!$R$61),"")</f>
        <v/>
      </c>
      <c r="Q26" s="42" t="str">
        <f>IF(AND('Mapa final'!$AB$62="Muy Alta",'Mapa final'!$AD$62="Moderado"),CONCATENATE("R21C",'Mapa final'!$R$62),"")</f>
        <v/>
      </c>
      <c r="R26" s="106" t="str">
        <f>IF(AND('Mapa final'!$AB$63="Muy Alta",'Mapa final'!$AD$63="Moderado"),CONCATENATE("R21C",'Mapa final'!$R$63),"")</f>
        <v/>
      </c>
      <c r="S26" s="105" t="str">
        <f>IF(AND('Mapa final'!$AB$61="Muy Alta",'Mapa final'!$AD$61="Mayor"),CONCATENATE("R21C",'Mapa final'!$R$61),"")</f>
        <v/>
      </c>
      <c r="T26" s="42" t="str">
        <f>IF(AND('Mapa final'!$AB$62="Muy Alta",'Mapa final'!$AD$62="Mayor"),CONCATENATE("R21C",'Mapa final'!$R$62),"")</f>
        <v/>
      </c>
      <c r="U26" s="106" t="str">
        <f>IF(AND('Mapa final'!$AB$63="Muy Alta",'Mapa final'!$AD$63="Mayor"),CONCATENATE("R21C",'Mapa final'!$R$63),"")</f>
        <v/>
      </c>
      <c r="V26" s="43" t="str">
        <f>IF(AND('Mapa final'!$AB$61="Muy Alta",'Mapa final'!$AD$61="Catastrófico"),CONCATENATE("R21C",'Mapa final'!$R$61),"")</f>
        <v/>
      </c>
      <c r="W26" s="44" t="str">
        <f>IF(AND('Mapa final'!$AB$62="Muy Alta",'Mapa final'!$AD$62="Catastrófico"),CONCATENATE("R21C",'Mapa final'!$R$62),"")</f>
        <v/>
      </c>
      <c r="X26" s="100" t="str">
        <f>IF(AND('Mapa final'!$AB$63="Muy Alta",'Mapa final'!$AD$63="Catastrófico"),CONCATENATE("R21C",'Mapa final'!$R$63),"")</f>
        <v/>
      </c>
      <c r="Y26" s="56"/>
      <c r="Z26" s="301"/>
      <c r="AA26" s="302"/>
      <c r="AB26" s="302"/>
      <c r="AC26" s="302"/>
      <c r="AD26" s="302"/>
      <c r="AE26" s="303"/>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x14ac:dyDescent="0.35">
      <c r="A27" s="56"/>
      <c r="B27" s="307"/>
      <c r="C27" s="307"/>
      <c r="D27" s="308"/>
      <c r="E27" s="284"/>
      <c r="F27" s="297"/>
      <c r="G27" s="297"/>
      <c r="H27" s="297"/>
      <c r="I27" s="279"/>
      <c r="J27" s="105" t="str">
        <f>IF(AND('Mapa final'!$AB$64="Muy Alta",'Mapa final'!$AD$64="Leve"),CONCATENATE("R22C",'Mapa final'!$R$64),"")</f>
        <v/>
      </c>
      <c r="K27" s="42" t="str">
        <f>IF(AND('Mapa final'!$AB$65="Muy Alta",'Mapa final'!$AD$65="Leve"),CONCATENATE("R22C",'Mapa final'!$R$65),"")</f>
        <v/>
      </c>
      <c r="L27" s="106" t="str">
        <f>IF(AND('Mapa final'!$AB$66="Muy Alta",'Mapa final'!$AD$66="Leve"),CONCATENATE("R22C",'Mapa final'!$R$66),"")</f>
        <v/>
      </c>
      <c r="M27" s="105" t="str">
        <f>IF(AND('Mapa final'!$AB$64="Muy Alta",'Mapa final'!$AD$64="Menor"),CONCATENATE("R22C",'Mapa final'!$R$64),"")</f>
        <v/>
      </c>
      <c r="N27" s="42" t="str">
        <f>IF(AND('Mapa final'!$AB$65="Muy Alta",'Mapa final'!$AD$65="Menor"),CONCATENATE("R22C",'Mapa final'!$R$65),"")</f>
        <v/>
      </c>
      <c r="O27" s="106" t="str">
        <f>IF(AND('Mapa final'!$AB$66="Muy Alta",'Mapa final'!$AD$66="Menor"),CONCATENATE("R22C",'Mapa final'!$R$66),"")</f>
        <v/>
      </c>
      <c r="P27" s="105" t="str">
        <f>IF(AND('Mapa final'!$AB$64="Muy Alta",'Mapa final'!$AD$64="Moderado"),CONCATENATE("R22C",'Mapa final'!$R$64),"")</f>
        <v/>
      </c>
      <c r="Q27" s="42" t="str">
        <f>IF(AND('Mapa final'!$AB$65="Muy Alta",'Mapa final'!$AD$65="Moderado"),CONCATENATE("R22C",'Mapa final'!$R$65),"")</f>
        <v/>
      </c>
      <c r="R27" s="106" t="str">
        <f>IF(AND('Mapa final'!$AB$66="Muy Alta",'Mapa final'!$AD$66="Moderado"),CONCATENATE("R22C",'Mapa final'!$R$66),"")</f>
        <v/>
      </c>
      <c r="S27" s="105" t="str">
        <f>IF(AND('Mapa final'!$AB$64="Muy Alta",'Mapa final'!$AD$64="Mayor"),CONCATENATE("R22C",'Mapa final'!$R$64),"")</f>
        <v/>
      </c>
      <c r="T27" s="42" t="str">
        <f>IF(AND('Mapa final'!$AB$65="Muy Alta",'Mapa final'!$AD$65="Mayor"),CONCATENATE("R22C",'Mapa final'!$R$65),"")</f>
        <v/>
      </c>
      <c r="U27" s="106" t="str">
        <f>IF(AND('Mapa final'!$AB$66="Muy Alta",'Mapa final'!$AD$66="Mayor"),CONCATENATE("R22C",'Mapa final'!$R$66),"")</f>
        <v/>
      </c>
      <c r="V27" s="43" t="str">
        <f>IF(AND('Mapa final'!$AB$64="Muy Alta",'Mapa final'!$AD$64="Catastrófico"),CONCATENATE("R22C",'Mapa final'!$R$64),"")</f>
        <v/>
      </c>
      <c r="W27" s="44" t="str">
        <f>IF(AND('Mapa final'!$AB$65="Muy Alta",'Mapa final'!$AD$65="Catastrófico"),CONCATENATE("R22C",'Mapa final'!$R$65),"")</f>
        <v/>
      </c>
      <c r="X27" s="100" t="str">
        <f>IF(AND('Mapa final'!$AB$66="Muy Alta",'Mapa final'!$AD$66="Catastrófico"),CONCATENATE("R22C",'Mapa final'!$R$66),"")</f>
        <v/>
      </c>
      <c r="Y27" s="56"/>
      <c r="Z27" s="301"/>
      <c r="AA27" s="302"/>
      <c r="AB27" s="302"/>
      <c r="AC27" s="302"/>
      <c r="AD27" s="302"/>
      <c r="AE27" s="303"/>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5" customHeight="1" x14ac:dyDescent="0.35">
      <c r="A28" s="56"/>
      <c r="B28" s="307"/>
      <c r="C28" s="307"/>
      <c r="D28" s="308"/>
      <c r="E28" s="284"/>
      <c r="F28" s="297"/>
      <c r="G28" s="297"/>
      <c r="H28" s="297"/>
      <c r="I28" s="279"/>
      <c r="J28" s="105" t="str">
        <f>IF(AND('Mapa final'!$AB$70="Muy Alta",'Mapa final'!$AD$70="Leve"),CONCATENATE("R23C",'Mapa final'!$R$70),"")</f>
        <v/>
      </c>
      <c r="K28" s="42" t="str">
        <f>IF(AND('Mapa final'!$AB$71="Muy Alta",'Mapa final'!$AD$71="Leve"),CONCATENATE("R23C",'Mapa final'!$R$71),"")</f>
        <v/>
      </c>
      <c r="L28" s="106" t="str">
        <f>IF(AND('Mapa final'!$AB$72="Muy Alta",'Mapa final'!$AD$72="Leve"),CONCATENATE("R23C",'Mapa final'!$R$72),"")</f>
        <v/>
      </c>
      <c r="M28" s="105" t="str">
        <f>IF(AND('Mapa final'!$AB$70="Muy Alta",'Mapa final'!$AD$70="Menor"),CONCATENATE("R23C",'Mapa final'!$R$70),"")</f>
        <v/>
      </c>
      <c r="N28" s="42" t="str">
        <f>IF(AND('Mapa final'!$AB$71="Muy Alta",'Mapa final'!$AD$71="Menor"),CONCATENATE("R23C",'Mapa final'!$R$71),"")</f>
        <v/>
      </c>
      <c r="O28" s="106" t="str">
        <f>IF(AND('Mapa final'!$AB$72="Muy Alta",'Mapa final'!$AD$72="Menor"),CONCATENATE("R23C",'Mapa final'!$R$72),"")</f>
        <v/>
      </c>
      <c r="P28" s="105" t="str">
        <f>IF(AND('Mapa final'!$AB$70="Muy Alta",'Mapa final'!$AD$70="Moderado"),CONCATENATE("R23C",'Mapa final'!$R$70),"")</f>
        <v/>
      </c>
      <c r="Q28" s="42" t="str">
        <f>IF(AND('Mapa final'!$AB$71="Muy Alta",'Mapa final'!$AD$71="Moderado"),CONCATENATE("R23C",'Mapa final'!$R$71),"")</f>
        <v/>
      </c>
      <c r="R28" s="106" t="str">
        <f>IF(AND('Mapa final'!$AB$72="Muy Alta",'Mapa final'!$AD$72="Moderado"),CONCATENATE("R23C",'Mapa final'!$R$72),"")</f>
        <v/>
      </c>
      <c r="S28" s="105" t="str">
        <f>IF(AND('Mapa final'!$AB$70="Muy Alta",'Mapa final'!$AD$70="Mayor"),CONCATENATE("R23C",'Mapa final'!$R$70),"")</f>
        <v/>
      </c>
      <c r="T28" s="42" t="str">
        <f>IF(AND('Mapa final'!$AB$71="Muy Alta",'Mapa final'!$AD$71="Mayor"),CONCATENATE("R23C",'Mapa final'!$R$71),"")</f>
        <v/>
      </c>
      <c r="U28" s="106" t="str">
        <f>IF(AND('Mapa final'!$AB$72="Muy Alta",'Mapa final'!$AD$72="Mayor"),CONCATENATE("R23C",'Mapa final'!$R$72),"")</f>
        <v/>
      </c>
      <c r="V28" s="43" t="str">
        <f>IF(AND('Mapa final'!$AB$70="Muy Alta",'Mapa final'!$AD$70="Catastrófico"),CONCATENATE("R23C",'Mapa final'!$R$70),"")</f>
        <v/>
      </c>
      <c r="W28" s="44" t="str">
        <f>IF(AND('Mapa final'!$AB$71="Muy Alta",'Mapa final'!$AD$71="Catastrófico"),CONCATENATE("R23C",'Mapa final'!$R$71),"")</f>
        <v/>
      </c>
      <c r="X28" s="100" t="str">
        <f>IF(AND('Mapa final'!$AB$72="Muy Alta",'Mapa final'!$AD$72="Catastrófico"),CONCATENATE("R23C",'Mapa final'!$R$72),"")</f>
        <v/>
      </c>
      <c r="Y28" s="56"/>
      <c r="Z28" s="301"/>
      <c r="AA28" s="302"/>
      <c r="AB28" s="302"/>
      <c r="AC28" s="302"/>
      <c r="AD28" s="302"/>
      <c r="AE28" s="303"/>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1:61" ht="15" customHeight="1" x14ac:dyDescent="0.35">
      <c r="A29" s="56"/>
      <c r="B29" s="307"/>
      <c r="C29" s="307"/>
      <c r="D29" s="308"/>
      <c r="E29" s="284"/>
      <c r="F29" s="297"/>
      <c r="G29" s="297"/>
      <c r="H29" s="297"/>
      <c r="I29" s="279"/>
      <c r="J29" s="105" t="str">
        <f>IF(AND('Mapa final'!$AB$73="Muy Alta",'Mapa final'!$AD$73="Leve"),CONCATENATE("R24C",'Mapa final'!$R$73),"")</f>
        <v/>
      </c>
      <c r="K29" s="42" t="str">
        <f>IF(AND('Mapa final'!$AB$74="Muy Alta",'Mapa final'!$AD$74="Leve"),CONCATENATE("R24C",'Mapa final'!$R$74),"")</f>
        <v/>
      </c>
      <c r="L29" s="106" t="str">
        <f>IF(AND('Mapa final'!$AB$75="Muy Alta",'Mapa final'!$AD$75="Leve"),CONCATENATE("R24C",'Mapa final'!$R$75),"")</f>
        <v/>
      </c>
      <c r="M29" s="105" t="str">
        <f>IF(AND('Mapa final'!$AB$73="Muy Alta",'Mapa final'!$AD$73="Menor"),CONCATENATE("R24C",'Mapa final'!$R$73),"")</f>
        <v/>
      </c>
      <c r="N29" s="42" t="str">
        <f>IF(AND('Mapa final'!$AB$74="Muy Alta",'Mapa final'!$AD$74="Menor"),CONCATENATE("R24C",'Mapa final'!$R$74),"")</f>
        <v/>
      </c>
      <c r="O29" s="106" t="str">
        <f>IF(AND('Mapa final'!$AB$75="Muy Alta",'Mapa final'!$AD$75="Menor"),CONCATENATE("R24C",'Mapa final'!$R$75),"")</f>
        <v/>
      </c>
      <c r="P29" s="105" t="str">
        <f>IF(AND('Mapa final'!$AB$73="Muy Alta",'Mapa final'!$AD$73="Moderado"),CONCATENATE("R24C",'Mapa final'!$R$73),"")</f>
        <v/>
      </c>
      <c r="Q29" s="42" t="str">
        <f>IF(AND('Mapa final'!$AB$74="Muy Alta",'Mapa final'!$AD$74="Moderado"),CONCATENATE("R24C",'Mapa final'!$R$74),"")</f>
        <v/>
      </c>
      <c r="R29" s="106" t="str">
        <f>IF(AND('Mapa final'!$AB$75="Muy Alta",'Mapa final'!$AD$75="Moderado"),CONCATENATE("R24C",'Mapa final'!$R$75),"")</f>
        <v/>
      </c>
      <c r="S29" s="105" t="str">
        <f>IF(AND('Mapa final'!$AB$73="Muy Alta",'Mapa final'!$AD$73="Mayor"),CONCATENATE("R24C",'Mapa final'!$R$73),"")</f>
        <v/>
      </c>
      <c r="T29" s="42" t="str">
        <f>IF(AND('Mapa final'!$AB$74="Muy Alta",'Mapa final'!$AD$74="Mayor"),CONCATENATE("R24C",'Mapa final'!$R$74),"")</f>
        <v/>
      </c>
      <c r="U29" s="106" t="str">
        <f>IF(AND('Mapa final'!$AB$75="Muy Alta",'Mapa final'!$AD$75="Mayor"),CONCATENATE("R24C",'Mapa final'!$R$75),"")</f>
        <v/>
      </c>
      <c r="V29" s="43" t="str">
        <f>IF(AND('Mapa final'!$AB$73="Muy Alta",'Mapa final'!$AD$73="Catastrófico"),CONCATENATE("R24C",'Mapa final'!$R$73),"")</f>
        <v/>
      </c>
      <c r="W29" s="44" t="str">
        <f>IF(AND('Mapa final'!$AB$74="Muy Alta",'Mapa final'!$AD$74="Catastrófico"),CONCATENATE("R24C",'Mapa final'!$R$74),"")</f>
        <v/>
      </c>
      <c r="X29" s="100" t="str">
        <f>IF(AND('Mapa final'!$AB$75="Muy Alta",'Mapa final'!$AD$75="Catastrófico"),CONCATENATE("R24C",'Mapa final'!$R$75),"")</f>
        <v/>
      </c>
      <c r="Y29" s="56"/>
      <c r="Z29" s="301"/>
      <c r="AA29" s="302"/>
      <c r="AB29" s="302"/>
      <c r="AC29" s="302"/>
      <c r="AD29" s="302"/>
      <c r="AE29" s="303"/>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row>
    <row r="30" spans="1:61" ht="15" customHeight="1" x14ac:dyDescent="0.35">
      <c r="A30" s="56"/>
      <c r="B30" s="307"/>
      <c r="C30" s="307"/>
      <c r="D30" s="308"/>
      <c r="E30" s="284"/>
      <c r="F30" s="297"/>
      <c r="G30" s="297"/>
      <c r="H30" s="297"/>
      <c r="I30" s="279"/>
      <c r="J30" s="105" t="str">
        <f>IF(AND('Mapa final'!$AB$76="Muy Alta",'Mapa final'!$AD$76="Leve"),CONCATENATE("R25C",'Mapa final'!$R$76),"")</f>
        <v/>
      </c>
      <c r="K30" s="42" t="str">
        <f>IF(AND('Mapa final'!$AB$77="Muy Alta",'Mapa final'!$AD$77="Leve"),CONCATENATE("R25C",'Mapa final'!$R$77),"")</f>
        <v/>
      </c>
      <c r="L30" s="106" t="str">
        <f>IF(AND('Mapa final'!$AB$78="Muy Alta",'Mapa final'!$AD$78="Leve"),CONCATENATE("R25C",'Mapa final'!$R$78),"")</f>
        <v/>
      </c>
      <c r="M30" s="105" t="str">
        <f>IF(AND('Mapa final'!$AB$76="Muy Alta",'Mapa final'!$AD$76="Menor"),CONCATENATE("R25C",'Mapa final'!$R$76),"")</f>
        <v/>
      </c>
      <c r="N30" s="42" t="str">
        <f>IF(AND('Mapa final'!$AB$77="Muy Alta",'Mapa final'!$AD$77="Menor"),CONCATENATE("R25C",'Mapa final'!$R$77),"")</f>
        <v/>
      </c>
      <c r="O30" s="106" t="str">
        <f>IF(AND('Mapa final'!$AB$78="Muy Alta",'Mapa final'!$AD$78="Menor"),CONCATENATE("R25C",'Mapa final'!$R$78),"")</f>
        <v/>
      </c>
      <c r="P30" s="105" t="str">
        <f>IF(AND('Mapa final'!$AB$76="Muy Alta",'Mapa final'!$AD$76="Moderado"),CONCATENATE("R25C",'Mapa final'!$R$76),"")</f>
        <v/>
      </c>
      <c r="Q30" s="42" t="str">
        <f>IF(AND('Mapa final'!$AB$77="Muy Alta",'Mapa final'!$AD$77="Moderado"),CONCATENATE("R25C",'Mapa final'!$R$77),"")</f>
        <v/>
      </c>
      <c r="R30" s="106" t="str">
        <f>IF(AND('Mapa final'!$AB$78="Muy Alta",'Mapa final'!$AD$78="Moderado"),CONCATENATE("R25C",'Mapa final'!$R$78),"")</f>
        <v/>
      </c>
      <c r="S30" s="105" t="str">
        <f>IF(AND('Mapa final'!$AB$76="Muy Alta",'Mapa final'!$AD$76="Mayor"),CONCATENATE("R25C",'Mapa final'!$R$76),"")</f>
        <v/>
      </c>
      <c r="T30" s="42" t="str">
        <f>IF(AND('Mapa final'!$AB$77="Muy Alta",'Mapa final'!$AD$77="Mayor"),CONCATENATE("R25C",'Mapa final'!$R$77),"")</f>
        <v/>
      </c>
      <c r="U30" s="106" t="str">
        <f>IF(AND('Mapa final'!$AB$78="Muy Alta",'Mapa final'!$AD$78="Mayor"),CONCATENATE("R25C",'Mapa final'!$R$78),"")</f>
        <v/>
      </c>
      <c r="V30" s="43" t="str">
        <f>IF(AND('Mapa final'!$AB$76="Muy Alta",'Mapa final'!$AD$76="Catastrófico"),CONCATENATE("R25C",'Mapa final'!$R$76),"")</f>
        <v/>
      </c>
      <c r="W30" s="44" t="str">
        <f>IF(AND('Mapa final'!$AB$77="Muy Alta",'Mapa final'!$AD$77="Catastrófico"),CONCATENATE("R25C",'Mapa final'!$R$77),"")</f>
        <v/>
      </c>
      <c r="X30" s="100" t="str">
        <f>IF(AND('Mapa final'!$AB$78="Muy Alta",'Mapa final'!$AD$78="Catastrófico"),CONCATENATE("R25C",'Mapa final'!$R$78),"")</f>
        <v/>
      </c>
      <c r="Y30" s="56"/>
      <c r="Z30" s="301"/>
      <c r="AA30" s="302"/>
      <c r="AB30" s="302"/>
      <c r="AC30" s="302"/>
      <c r="AD30" s="302"/>
      <c r="AE30" s="303"/>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row>
    <row r="31" spans="1:61" ht="15" customHeight="1" x14ac:dyDescent="0.35">
      <c r="A31" s="56"/>
      <c r="B31" s="307"/>
      <c r="C31" s="307"/>
      <c r="D31" s="308"/>
      <c r="E31" s="284"/>
      <c r="F31" s="297"/>
      <c r="G31" s="297"/>
      <c r="H31" s="297"/>
      <c r="I31" s="279"/>
      <c r="J31" s="105" t="str">
        <f>IF(AND('Mapa final'!$AB$79="Muy Alta",'Mapa final'!$AD$79="Leve"),CONCATENATE("R26C",'Mapa final'!$R$79),"")</f>
        <v/>
      </c>
      <c r="K31" s="42" t="str">
        <f>IF(AND('Mapa final'!$AB$80="Muy Alta",'Mapa final'!$AD$80="Leve"),CONCATENATE("R26C",'Mapa final'!$R$80),"")</f>
        <v/>
      </c>
      <c r="L31" s="106" t="str">
        <f>IF(AND('Mapa final'!$AB$81="Muy Alta",'Mapa final'!$AD$81="Leve"),CONCATENATE("R26C",'Mapa final'!$R$81),"")</f>
        <v/>
      </c>
      <c r="M31" s="105" t="str">
        <f>IF(AND('Mapa final'!$AB$79="Muy Alta",'Mapa final'!$AD$79="Menor"),CONCATENATE("R26C",'Mapa final'!$R$79),"")</f>
        <v/>
      </c>
      <c r="N31" s="42" t="str">
        <f>IF(AND('Mapa final'!$AB$80="Muy Alta",'Mapa final'!$AD$80="Menor"),CONCATENATE("R26C",'Mapa final'!$R$80),"")</f>
        <v/>
      </c>
      <c r="O31" s="106" t="str">
        <f>IF(AND('Mapa final'!$AB$81="Muy Alta",'Mapa final'!$AD$81="Menor"),CONCATENATE("R26C",'Mapa final'!$R$81),"")</f>
        <v/>
      </c>
      <c r="P31" s="105" t="str">
        <f>IF(AND('Mapa final'!$AB$79="Muy Alta",'Mapa final'!$AD$79="Moderado"),CONCATENATE("R26C",'Mapa final'!$R$79),"")</f>
        <v/>
      </c>
      <c r="Q31" s="42" t="str">
        <f>IF(AND('Mapa final'!$AB$80="Muy Alta",'Mapa final'!$AD$80="Moderado"),CONCATENATE("R26C",'Mapa final'!$R$80),"")</f>
        <v/>
      </c>
      <c r="R31" s="106" t="str">
        <f>IF(AND('Mapa final'!$AB$81="Muy Alta",'Mapa final'!$AD$81="Moderado"),CONCATENATE("R26C",'Mapa final'!$R$81),"")</f>
        <v/>
      </c>
      <c r="S31" s="105" t="str">
        <f>IF(AND('Mapa final'!$AB$79="Muy Alta",'Mapa final'!$AD$79="Mayor"),CONCATENATE("R26C",'Mapa final'!$R$79),"")</f>
        <v/>
      </c>
      <c r="T31" s="42" t="str">
        <f>IF(AND('Mapa final'!$AB$80="Muy Alta",'Mapa final'!$AD$80="Mayor"),CONCATENATE("R26C",'Mapa final'!$R$80),"")</f>
        <v/>
      </c>
      <c r="U31" s="106" t="str">
        <f>IF(AND('Mapa final'!$AB$81="Muy Alta",'Mapa final'!$AD$81="Mayor"),CONCATENATE("R26C",'Mapa final'!$R$81),"")</f>
        <v/>
      </c>
      <c r="V31" s="43" t="str">
        <f>IF(AND('Mapa final'!$AB$79="Muy Alta",'Mapa final'!$AD$79="Catastrófico"),CONCATENATE("R26C",'Mapa final'!$R$79),"")</f>
        <v/>
      </c>
      <c r="W31" s="44" t="str">
        <f>IF(AND('Mapa final'!$AB$80="Muy Alta",'Mapa final'!$AD$80="Catastrófico"),CONCATENATE("R26C",'Mapa final'!$R$80),"")</f>
        <v/>
      </c>
      <c r="X31" s="100" t="str">
        <f>IF(AND('Mapa final'!$AB$81="Muy Alta",'Mapa final'!$AD$81="Catastrófico"),CONCATENATE("R26C",'Mapa final'!$R$81),"")</f>
        <v/>
      </c>
      <c r="Y31" s="56"/>
      <c r="Z31" s="301"/>
      <c r="AA31" s="302"/>
      <c r="AB31" s="302"/>
      <c r="AC31" s="302"/>
      <c r="AD31" s="302"/>
      <c r="AE31" s="303"/>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row>
    <row r="32" spans="1:61" ht="15" customHeight="1" x14ac:dyDescent="0.35">
      <c r="A32" s="56"/>
      <c r="B32" s="307"/>
      <c r="C32" s="307"/>
      <c r="D32" s="308"/>
      <c r="E32" s="284"/>
      <c r="F32" s="297"/>
      <c r="G32" s="297"/>
      <c r="H32" s="297"/>
      <c r="I32" s="279"/>
      <c r="J32" s="105" t="str">
        <f>IF(AND('Mapa final'!$AB$82="Muy Alta",'Mapa final'!$AD$82="Leve"),CONCATENATE("R27C",'Mapa final'!$R$82),"")</f>
        <v/>
      </c>
      <c r="K32" s="42" t="str">
        <f>IF(AND('Mapa final'!$AB$83="Muy Alta",'Mapa final'!$AD$83="Leve"),CONCATENATE("R27C",'Mapa final'!$R$83),"")</f>
        <v/>
      </c>
      <c r="L32" s="106" t="str">
        <f>IF(AND('Mapa final'!$AB$84="Muy Alta",'Mapa final'!$AD$84="Leve"),CONCATENATE("R27C",'Mapa final'!$R$84),"")</f>
        <v/>
      </c>
      <c r="M32" s="105" t="str">
        <f>IF(AND('Mapa final'!$AB$82="Muy Alta",'Mapa final'!$AD$82="Menor"),CONCATENATE("R27C",'Mapa final'!$R$82),"")</f>
        <v/>
      </c>
      <c r="N32" s="42" t="str">
        <f>IF(AND('Mapa final'!$AB$83="Muy Alta",'Mapa final'!$AD$83="Menor"),CONCATENATE("R27C",'Mapa final'!$R$83),"")</f>
        <v/>
      </c>
      <c r="O32" s="106" t="str">
        <f>IF(AND('Mapa final'!$AB$84="Muy Alta",'Mapa final'!$AD$84="Menor"),CONCATENATE("R27C",'Mapa final'!$R$84),"")</f>
        <v/>
      </c>
      <c r="P32" s="105" t="str">
        <f>IF(AND('Mapa final'!$AB$82="Muy Alta",'Mapa final'!$AD$82="Moderado"),CONCATENATE("R27C",'Mapa final'!$R$82),"")</f>
        <v/>
      </c>
      <c r="Q32" s="42" t="str">
        <f>IF(AND('Mapa final'!$AB$83="Muy Alta",'Mapa final'!$AD$83="Moderado"),CONCATENATE("R27C",'Mapa final'!$R$83),"")</f>
        <v/>
      </c>
      <c r="R32" s="106" t="str">
        <f>IF(AND('Mapa final'!$AB$84="Muy Alta",'Mapa final'!$AD$84="Moderado"),CONCATENATE("R27C",'Mapa final'!$R$84),"")</f>
        <v/>
      </c>
      <c r="S32" s="105" t="str">
        <f>IF(AND('Mapa final'!$AB$82="Muy Alta",'Mapa final'!$AD$82="Mayor"),CONCATENATE("R27C",'Mapa final'!$R$82),"")</f>
        <v/>
      </c>
      <c r="T32" s="42" t="str">
        <f>IF(AND('Mapa final'!$AB$83="Muy Alta",'Mapa final'!$AD$83="Mayor"),CONCATENATE("R27C",'Mapa final'!$R$83),"")</f>
        <v/>
      </c>
      <c r="U32" s="106" t="str">
        <f>IF(AND('Mapa final'!$AB$84="Muy Alta",'Mapa final'!$AD$84="Mayor"),CONCATENATE("R27C",'Mapa final'!$R$84),"")</f>
        <v/>
      </c>
      <c r="V32" s="43" t="str">
        <f>IF(AND('Mapa final'!$AB$82="Muy Alta",'Mapa final'!$AD$82="Catastrófico"),CONCATENATE("R27C",'Mapa final'!$R$82),"")</f>
        <v/>
      </c>
      <c r="W32" s="44" t="str">
        <f>IF(AND('Mapa final'!$AB$83="Muy Alta",'Mapa final'!$AD$83="Catastrófico"),CONCATENATE("R27C",'Mapa final'!$R$83),"")</f>
        <v/>
      </c>
      <c r="X32" s="100" t="str">
        <f>IF(AND('Mapa final'!$AB$84="Muy Alta",'Mapa final'!$AD$84="Catastrófico"),CONCATENATE("R27C",'Mapa final'!$R$84),"")</f>
        <v/>
      </c>
      <c r="Y32" s="56"/>
      <c r="Z32" s="301"/>
      <c r="AA32" s="302"/>
      <c r="AB32" s="302"/>
      <c r="AC32" s="302"/>
      <c r="AD32" s="302"/>
      <c r="AE32" s="303"/>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ht="15" customHeight="1" x14ac:dyDescent="0.35">
      <c r="A33" s="56"/>
      <c r="B33" s="307"/>
      <c r="C33" s="307"/>
      <c r="D33" s="308"/>
      <c r="E33" s="284"/>
      <c r="F33" s="297"/>
      <c r="G33" s="297"/>
      <c r="H33" s="297"/>
      <c r="I33" s="279"/>
      <c r="J33" s="105" t="str">
        <f>IF(AND('Mapa final'!$AB$85="Muy Alta",'Mapa final'!$AD$85="Leve"),CONCATENATE("R28C",'Mapa final'!$R$85),"")</f>
        <v/>
      </c>
      <c r="K33" s="42" t="str">
        <f>IF(AND('Mapa final'!$AB$86="Muy Alta",'Mapa final'!$AD$86="Leve"),CONCATENATE("R28C",'Mapa final'!$R$86),"")</f>
        <v/>
      </c>
      <c r="L33" s="106" t="str">
        <f>IF(AND('Mapa final'!$AB$87="Muy Alta",'Mapa final'!$AD$87="Leve"),CONCATENATE("R28C",'Mapa final'!$R$87),"")</f>
        <v/>
      </c>
      <c r="M33" s="105" t="str">
        <f>IF(AND('Mapa final'!$AB$85="Muy Alta",'Mapa final'!$AD$85="Menor"),CONCATENATE("R28C",'Mapa final'!$R$85),"")</f>
        <v/>
      </c>
      <c r="N33" s="42" t="str">
        <f>IF(AND('Mapa final'!$AB$86="Muy Alta",'Mapa final'!$AD$86="Menor"),CONCATENATE("R28C",'Mapa final'!$R$86),"")</f>
        <v/>
      </c>
      <c r="O33" s="106" t="str">
        <f>IF(AND('Mapa final'!$AB$87="Muy Alta",'Mapa final'!$AD$87="Menor"),CONCATENATE("R28C",'Mapa final'!$R$87),"")</f>
        <v/>
      </c>
      <c r="P33" s="105" t="str">
        <f>IF(AND('Mapa final'!$AB$85="Muy Alta",'Mapa final'!$AD$85="Moderado"),CONCATENATE("R28C",'Mapa final'!$R$85),"")</f>
        <v/>
      </c>
      <c r="Q33" s="42" t="str">
        <f>IF(AND('Mapa final'!$AB$86="Muy Alta",'Mapa final'!$AD$86="Moderado"),CONCATENATE("R28C",'Mapa final'!$R$86),"")</f>
        <v/>
      </c>
      <c r="R33" s="106" t="str">
        <f>IF(AND('Mapa final'!$AB$87="Muy Alta",'Mapa final'!$AD$87="Moderado"),CONCATENATE("R28C",'Mapa final'!$R$87),"")</f>
        <v/>
      </c>
      <c r="S33" s="105" t="str">
        <f>IF(AND('Mapa final'!$AB$85="Muy Alta",'Mapa final'!$AD$85="Mayor"),CONCATENATE("R28C",'Mapa final'!$R$85),"")</f>
        <v/>
      </c>
      <c r="T33" s="42" t="str">
        <f>IF(AND('Mapa final'!$AB$86="Muy Alta",'Mapa final'!$AD$86="Mayor"),CONCATENATE("R28C",'Mapa final'!$R$86),"")</f>
        <v/>
      </c>
      <c r="U33" s="106" t="str">
        <f>IF(AND('Mapa final'!$AB$87="Muy Alta",'Mapa final'!$AD$87="Mayor"),CONCATENATE("R28C",'Mapa final'!$R$87),"")</f>
        <v/>
      </c>
      <c r="V33" s="43" t="str">
        <f>IF(AND('Mapa final'!$AB$85="Muy Alta",'Mapa final'!$AD$85="Catastrófico"),CONCATENATE("R28C",'Mapa final'!$R$85),"")</f>
        <v/>
      </c>
      <c r="W33" s="44" t="str">
        <f>IF(AND('Mapa final'!$AB$86="Muy Alta",'Mapa final'!$AD$86="Catastrófico"),CONCATENATE("R28C",'Mapa final'!$R$86),"")</f>
        <v/>
      </c>
      <c r="X33" s="100" t="str">
        <f>IF(AND('Mapa final'!$AB$87="Muy Alta",'Mapa final'!$AD$87="Catastrófico"),CONCATENATE("R28C",'Mapa final'!$R$87),"")</f>
        <v/>
      </c>
      <c r="Y33" s="56"/>
      <c r="Z33" s="301"/>
      <c r="AA33" s="302"/>
      <c r="AB33" s="302"/>
      <c r="AC33" s="302"/>
      <c r="AD33" s="302"/>
      <c r="AE33" s="303"/>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x14ac:dyDescent="0.35">
      <c r="A34" s="56"/>
      <c r="B34" s="307"/>
      <c r="C34" s="307"/>
      <c r="D34" s="308"/>
      <c r="E34" s="284"/>
      <c r="F34" s="297"/>
      <c r="G34" s="297"/>
      <c r="H34" s="297"/>
      <c r="I34" s="279"/>
      <c r="J34" s="105" t="str">
        <f>IF(AND('Mapa final'!$AB$88="Muy Alta",'Mapa final'!$AD$88="Leve"),CONCATENATE("R29C",'Mapa final'!$R$88),"")</f>
        <v/>
      </c>
      <c r="K34" s="42" t="str">
        <f>IF(AND('Mapa final'!$AB$89="Muy Alta",'Mapa final'!$AD$89="Leve"),CONCATENATE("R29C",'Mapa final'!$R$89),"")</f>
        <v/>
      </c>
      <c r="L34" s="106" t="str">
        <f>IF(AND('Mapa final'!$AB$90="Muy Alta",'Mapa final'!$AD$90="Leve"),CONCATENATE("R29C",'Mapa final'!$R$90),"")</f>
        <v/>
      </c>
      <c r="M34" s="105" t="str">
        <f>IF(AND('Mapa final'!$AB$88="Muy Alta",'Mapa final'!$AD$88="Menor"),CONCATENATE("R29C",'Mapa final'!$R$88),"")</f>
        <v/>
      </c>
      <c r="N34" s="42" t="str">
        <f>IF(AND('Mapa final'!$AB$89="Muy Alta",'Mapa final'!$AD$89="Menor"),CONCATENATE("R29C",'Mapa final'!$R$89),"")</f>
        <v/>
      </c>
      <c r="O34" s="106" t="str">
        <f>IF(AND('Mapa final'!$AB$90="Muy Alta",'Mapa final'!$AD$90="Menor"),CONCATENATE("R29C",'Mapa final'!$R$90),"")</f>
        <v/>
      </c>
      <c r="P34" s="105" t="str">
        <f>IF(AND('Mapa final'!$AB$88="Muy Alta",'Mapa final'!$AD$88="Moderado"),CONCATENATE("R29C",'Mapa final'!$R$88),"")</f>
        <v/>
      </c>
      <c r="Q34" s="42" t="str">
        <f>IF(AND('Mapa final'!$AB$89="Muy Alta",'Mapa final'!$AD$89="Moderado"),CONCATENATE("R29C",'Mapa final'!$R$89),"")</f>
        <v/>
      </c>
      <c r="R34" s="106" t="str">
        <f>IF(AND('Mapa final'!$AB$90="Muy Alta",'Mapa final'!$AD$90="Moderado"),CONCATENATE("R29C",'Mapa final'!$R$90),"")</f>
        <v/>
      </c>
      <c r="S34" s="105" t="str">
        <f>IF(AND('Mapa final'!$AB$88="Muy Alta",'Mapa final'!$AD$88="Mayor"),CONCATENATE("R29C",'Mapa final'!$R$88),"")</f>
        <v/>
      </c>
      <c r="T34" s="42" t="str">
        <f>IF(AND('Mapa final'!$AB$89="Muy Alta",'Mapa final'!$AD$89="Mayor"),CONCATENATE("R29C",'Mapa final'!$R$89),"")</f>
        <v/>
      </c>
      <c r="U34" s="106" t="str">
        <f>IF(AND('Mapa final'!$AB$90="Muy Alta",'Mapa final'!$AD$90="Mayor"),CONCATENATE("R29C",'Mapa final'!$R$90),"")</f>
        <v/>
      </c>
      <c r="V34" s="43" t="str">
        <f>IF(AND('Mapa final'!$AB$88="Muy Alta",'Mapa final'!$AD$88="Catastrófico"),CONCATENATE("R29C",'Mapa final'!$R$88),"")</f>
        <v/>
      </c>
      <c r="W34" s="44" t="str">
        <f>IF(AND('Mapa final'!$AB$89="Muy Alta",'Mapa final'!$AD$89="Catastrófico"),CONCATENATE("R29C",'Mapa final'!$R$89),"")</f>
        <v/>
      </c>
      <c r="X34" s="100" t="str">
        <f>IF(AND('Mapa final'!$AB$90="Muy Alta",'Mapa final'!$AD$90="Catastrófico"),CONCATENATE("R29C",'Mapa final'!$R$90),"")</f>
        <v/>
      </c>
      <c r="Y34" s="56"/>
      <c r="Z34" s="301"/>
      <c r="AA34" s="302"/>
      <c r="AB34" s="302"/>
      <c r="AC34" s="302"/>
      <c r="AD34" s="302"/>
      <c r="AE34" s="303"/>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row>
    <row r="35" spans="1:61" ht="15" customHeight="1" x14ac:dyDescent="0.35">
      <c r="A35" s="56"/>
      <c r="B35" s="307"/>
      <c r="C35" s="307"/>
      <c r="D35" s="308"/>
      <c r="E35" s="284"/>
      <c r="F35" s="297"/>
      <c r="G35" s="297"/>
      <c r="H35" s="297"/>
      <c r="I35" s="279"/>
      <c r="J35" s="105" t="str">
        <f>IF(AND('Mapa final'!$AB$91="Muy Alta",'Mapa final'!$AD$91="Leve"),CONCATENATE("R30C",'Mapa final'!$R$91),"")</f>
        <v/>
      </c>
      <c r="K35" s="42" t="str">
        <f>IF(AND('Mapa final'!$AB$92="Muy Alta",'Mapa final'!$AD$92="Leve"),CONCATENATE("R30C",'Mapa final'!$R$92),"")</f>
        <v/>
      </c>
      <c r="L35" s="106" t="str">
        <f>IF(AND('Mapa final'!$AB$93="Muy Alta",'Mapa final'!$AD$93="Leve"),CONCATENATE("R30C",'Mapa final'!$R$93),"")</f>
        <v/>
      </c>
      <c r="M35" s="105" t="str">
        <f>IF(AND('Mapa final'!$AB$91="Muy Alta",'Mapa final'!$AD$91="Menor"),CONCATENATE("R30C",'Mapa final'!$R$91),"")</f>
        <v/>
      </c>
      <c r="N35" s="42" t="str">
        <f>IF(AND('Mapa final'!$AB$92="Muy Alta",'Mapa final'!$AD$92="Menor"),CONCATENATE("R30C",'Mapa final'!$R$92),"")</f>
        <v/>
      </c>
      <c r="O35" s="106" t="str">
        <f>IF(AND('Mapa final'!$AB$93="Muy Alta",'Mapa final'!$AD$93="Menor"),CONCATENATE("R30C",'Mapa final'!$R$93),"")</f>
        <v/>
      </c>
      <c r="P35" s="105" t="str">
        <f>IF(AND('Mapa final'!$AB$91="Muy Alta",'Mapa final'!$AD$91="Moderado"),CONCATENATE("R30C",'Mapa final'!$R$91),"")</f>
        <v/>
      </c>
      <c r="Q35" s="42" t="str">
        <f>IF(AND('Mapa final'!$AB$92="Muy Alta",'Mapa final'!$AD$92="Moderado"),CONCATENATE("R30C",'Mapa final'!$R$92),"")</f>
        <v/>
      </c>
      <c r="R35" s="106" t="str">
        <f>IF(AND('Mapa final'!$AB$93="Muy Alta",'Mapa final'!$AD$93="Moderado"),CONCATENATE("R30C",'Mapa final'!$R$93),"")</f>
        <v/>
      </c>
      <c r="S35" s="105" t="str">
        <f>IF(AND('Mapa final'!$AB$91="Muy Alta",'Mapa final'!$AD$91="Mayor"),CONCATENATE("R30C",'Mapa final'!$R$91),"")</f>
        <v/>
      </c>
      <c r="T35" s="42" t="str">
        <f>IF(AND('Mapa final'!$AB$92="Muy Alta",'Mapa final'!$AD$92="Mayor"),CONCATENATE("R30C",'Mapa final'!$R$92),"")</f>
        <v/>
      </c>
      <c r="U35" s="106" t="str">
        <f>IF(AND('Mapa final'!$AB$93="Muy Alta",'Mapa final'!$AD$93="Mayor"),CONCATENATE("R30C",'Mapa final'!$R$93),"")</f>
        <v/>
      </c>
      <c r="V35" s="43" t="str">
        <f>IF(AND('Mapa final'!$AB$91="Muy Alta",'Mapa final'!$AD$91="Catastrófico"),CONCATENATE("R30C",'Mapa final'!$R$91),"")</f>
        <v/>
      </c>
      <c r="W35" s="44" t="str">
        <f>IF(AND('Mapa final'!$AB$92="Muy Alta",'Mapa final'!$AD$92="Catastrófico"),CONCATENATE("R30C",'Mapa final'!$R$92),"")</f>
        <v/>
      </c>
      <c r="X35" s="100" t="str">
        <f>IF(AND('Mapa final'!$AB$93="Muy Alta",'Mapa final'!$AD$93="Catastrófico"),CONCATENATE("R30C",'Mapa final'!$R$93),"")</f>
        <v/>
      </c>
      <c r="Y35" s="56"/>
      <c r="Z35" s="301"/>
      <c r="AA35" s="302"/>
      <c r="AB35" s="302"/>
      <c r="AC35" s="302"/>
      <c r="AD35" s="302"/>
      <c r="AE35" s="303"/>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row>
    <row r="36" spans="1:61" ht="15" customHeight="1" x14ac:dyDescent="0.35">
      <c r="A36" s="56"/>
      <c r="B36" s="307"/>
      <c r="C36" s="307"/>
      <c r="D36" s="308"/>
      <c r="E36" s="284"/>
      <c r="F36" s="297"/>
      <c r="G36" s="297"/>
      <c r="H36" s="297"/>
      <c r="I36" s="279"/>
      <c r="J36" s="105" t="str">
        <f>IF(AND('Mapa final'!$AB$94="Muy Alta",'Mapa final'!$AD$94="Leve"),CONCATENATE("R31C",'Mapa final'!$R$94),"")</f>
        <v/>
      </c>
      <c r="K36" s="42" t="str">
        <f>IF(AND('Mapa final'!$AB$95="Muy Alta",'Mapa final'!$AD$95="Leve"),CONCATENATE("R31C",'Mapa final'!$R$95),"")</f>
        <v/>
      </c>
      <c r="L36" s="106" t="str">
        <f>IF(AND('Mapa final'!$AB$96="Muy Alta",'Mapa final'!$AD$96="Leve"),CONCATENATE("R31C",'Mapa final'!$R$96),"")</f>
        <v/>
      </c>
      <c r="M36" s="105" t="str">
        <f>IF(AND('Mapa final'!$AB$94="Muy Alta",'Mapa final'!$AD$94="Menor"),CONCATENATE("R31C",'Mapa final'!$R$94),"")</f>
        <v/>
      </c>
      <c r="N36" s="42" t="str">
        <f>IF(AND('Mapa final'!$AB$95="Muy Alta",'Mapa final'!$AD$95="Menor"),CONCATENATE("R31C",'Mapa final'!$R$95),"")</f>
        <v/>
      </c>
      <c r="O36" s="106" t="str">
        <f>IF(AND('Mapa final'!$AB$96="Muy Alta",'Mapa final'!$AD$96="Menor"),CONCATENATE("R31C",'Mapa final'!$R$96),"")</f>
        <v/>
      </c>
      <c r="P36" s="105" t="str">
        <f>IF(AND('Mapa final'!$AB$94="Muy Alta",'Mapa final'!$AD$94="Moderado"),CONCATENATE("R31C",'Mapa final'!$R$94),"")</f>
        <v/>
      </c>
      <c r="Q36" s="42" t="str">
        <f>IF(AND('Mapa final'!$AB$95="Muy Alta",'Mapa final'!$AD$95="Moderado"),CONCATENATE("R31C",'Mapa final'!$R$95),"")</f>
        <v/>
      </c>
      <c r="R36" s="106" t="str">
        <f>IF(AND('Mapa final'!$AB$96="Muy Alta",'Mapa final'!$AD$96="Moderado"),CONCATENATE("R31C",'Mapa final'!$R$96),"")</f>
        <v/>
      </c>
      <c r="S36" s="105" t="str">
        <f>IF(AND('Mapa final'!$AB$94="Muy Alta",'Mapa final'!$AD$94="Mayor"),CONCATENATE("R31C",'Mapa final'!$R$94),"")</f>
        <v/>
      </c>
      <c r="T36" s="42" t="str">
        <f>IF(AND('Mapa final'!$AB$95="Muy Alta",'Mapa final'!$AD$95="Mayor"),CONCATENATE("R31C",'Mapa final'!$R$95),"")</f>
        <v/>
      </c>
      <c r="U36" s="106" t="str">
        <f>IF(AND('Mapa final'!$AB$96="Muy Alta",'Mapa final'!$AD$96="Mayor"),CONCATENATE("R31C",'Mapa final'!$R$96),"")</f>
        <v/>
      </c>
      <c r="V36" s="43" t="str">
        <f>IF(AND('Mapa final'!$AB$94="Muy Alta",'Mapa final'!$AD$94="Catastrófico"),CONCATENATE("R31C",'Mapa final'!$R$94),"")</f>
        <v/>
      </c>
      <c r="W36" s="44" t="str">
        <f>IF(AND('Mapa final'!$AB$95="Muy Alta",'Mapa final'!$AD$95="Catastrófico"),CONCATENATE("R31C",'Mapa final'!$R$95),"")</f>
        <v/>
      </c>
      <c r="X36" s="100" t="str">
        <f>IF(AND('Mapa final'!$AB$96="Muy Alta",'Mapa final'!$AD$96="Catastrófico"),CONCATENATE("R31C",'Mapa final'!$R$96),"")</f>
        <v/>
      </c>
      <c r="Y36" s="56"/>
      <c r="Z36" s="301"/>
      <c r="AA36" s="302"/>
      <c r="AB36" s="302"/>
      <c r="AC36" s="302"/>
      <c r="AD36" s="302"/>
      <c r="AE36" s="303"/>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61" ht="15" customHeight="1" x14ac:dyDescent="0.35">
      <c r="A37" s="56"/>
      <c r="B37" s="307"/>
      <c r="C37" s="307"/>
      <c r="D37" s="308"/>
      <c r="E37" s="284"/>
      <c r="F37" s="297"/>
      <c r="G37" s="297"/>
      <c r="H37" s="297"/>
      <c r="I37" s="279"/>
      <c r="J37" s="105" t="e">
        <f>IF(AND('Mapa final'!#REF!="Muy Alta",'Mapa final'!#REF!="Leve"),CONCATENATE("R32C",'Mapa final'!#REF!),"")</f>
        <v>#REF!</v>
      </c>
      <c r="K37" s="42" t="e">
        <f>IF(AND('Mapa final'!#REF!="Muy Alta",'Mapa final'!#REF!="Leve"),CONCATENATE("R32C",'Mapa final'!#REF!),"")</f>
        <v>#REF!</v>
      </c>
      <c r="L37" s="42" t="e">
        <f>IF(AND('Mapa final'!#REF!="Muy Alta",'Mapa final'!#REF!="Leve"),CONCATENATE("R32C",'Mapa final'!#REF!),"")</f>
        <v>#REF!</v>
      </c>
      <c r="M37" s="105" t="e">
        <f>IF(AND('Mapa final'!#REF!="Muy Alta",'Mapa final'!#REF!="Menor"),CONCATENATE("R32C",'Mapa final'!#REF!),"")</f>
        <v>#REF!</v>
      </c>
      <c r="N37" s="42" t="e">
        <f>IF(AND('Mapa final'!#REF!="Muy Alta",'Mapa final'!#REF!="Menor"),CONCATENATE("R32C",'Mapa final'!#REF!),"")</f>
        <v>#REF!</v>
      </c>
      <c r="O37" s="42" t="e">
        <f>IF(AND('Mapa final'!#REF!="Muy Alta",'Mapa final'!#REF!="Menor"),CONCATENATE("R32C",'Mapa final'!#REF!),"")</f>
        <v>#REF!</v>
      </c>
      <c r="P37" s="105" t="e">
        <f>IF(AND('Mapa final'!#REF!="Muy Alta",'Mapa final'!#REF!="Moderado"),CONCATENATE("R32C",'Mapa final'!#REF!),"")</f>
        <v>#REF!</v>
      </c>
      <c r="Q37" s="42" t="e">
        <f>IF(AND('Mapa final'!#REF!="Muy Alta",'Mapa final'!#REF!="Moderado"),CONCATENATE("R32C",'Mapa final'!#REF!),"")</f>
        <v>#REF!</v>
      </c>
      <c r="R37" s="42" t="e">
        <f>IF(AND('Mapa final'!#REF!="Muy Alta",'Mapa final'!#REF!="Moderado"),CONCATENATE("R32C",'Mapa final'!#REF!),"")</f>
        <v>#REF!</v>
      </c>
      <c r="S37" s="105" t="e">
        <f>IF(AND('Mapa final'!#REF!="Muy Alta",'Mapa final'!#REF!="Mayor"),CONCATENATE("R32C",'Mapa final'!#REF!),"")</f>
        <v>#REF!</v>
      </c>
      <c r="T37" s="42" t="e">
        <f>IF(AND('Mapa final'!#REF!="Muy Alta",'Mapa final'!#REF!="Mayor"),CONCATENATE("R32C",'Mapa final'!#REF!),"")</f>
        <v>#REF!</v>
      </c>
      <c r="U37" s="106" t="e">
        <f>IF(AND('Mapa final'!#REF!="Muy Alta",'Mapa final'!#REF!="Mayor"),CONCATENATE("R32C",'Mapa final'!#REF!),"")</f>
        <v>#REF!</v>
      </c>
      <c r="V37" s="43" t="e">
        <f>IF(AND('Mapa final'!#REF!="Muy Alta",'Mapa final'!#REF!="Catastrófico"),CONCATENATE("R32C",'Mapa final'!#REF!),"")</f>
        <v>#REF!</v>
      </c>
      <c r="W37" s="44" t="e">
        <f>IF(AND('Mapa final'!#REF!="Muy Alta",'Mapa final'!#REF!="Catastrófico"),CONCATENATE("R32C",'Mapa final'!#REF!),"")</f>
        <v>#REF!</v>
      </c>
      <c r="X37" s="100" t="e">
        <f>IF(AND('Mapa final'!#REF!="Muy Alta",'Mapa final'!#REF!="Catastrófico"),CONCATENATE("R32C",'Mapa final'!#REF!),"")</f>
        <v>#REF!</v>
      </c>
      <c r="Y37" s="56"/>
      <c r="Z37" s="301"/>
      <c r="AA37" s="302"/>
      <c r="AB37" s="302"/>
      <c r="AC37" s="302"/>
      <c r="AD37" s="302"/>
      <c r="AE37" s="303"/>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61" ht="15" customHeight="1" x14ac:dyDescent="0.35">
      <c r="A38" s="56"/>
      <c r="B38" s="307"/>
      <c r="C38" s="307"/>
      <c r="D38" s="308"/>
      <c r="E38" s="284"/>
      <c r="F38" s="297"/>
      <c r="G38" s="297"/>
      <c r="H38" s="297"/>
      <c r="I38" s="279"/>
      <c r="J38" s="105" t="str">
        <f>IF(AND('Mapa final'!$AB$97="Muy Alta",'Mapa final'!$AD$97="Leve"),CONCATENATE("R33C",'Mapa final'!$R$97),"")</f>
        <v/>
      </c>
      <c r="K38" s="42" t="str">
        <f>IF(AND('Mapa final'!$AB$98="Muy Alta",'Mapa final'!$AD$98="Leve"),CONCATENATE("R33C",'Mapa final'!$R$98),"")</f>
        <v/>
      </c>
      <c r="L38" s="42" t="str">
        <f>IF(AND('Mapa final'!$AB$99="Muy Alta",'Mapa final'!$AD$99="Leve"),CONCATENATE("R33C",'Mapa final'!$R$99),"")</f>
        <v/>
      </c>
      <c r="M38" s="105" t="str">
        <f>IF(AND('Mapa final'!$AB$97="Muy Alta",'Mapa final'!$AD$97="Menor"),CONCATENATE("R33C",'Mapa final'!$R$97),"")</f>
        <v/>
      </c>
      <c r="N38" s="42" t="str">
        <f>IF(AND('Mapa final'!$AB$98="Muy Alta",'Mapa final'!$AD$98="Menor"),CONCATENATE("R33C",'Mapa final'!$R$98),"")</f>
        <v/>
      </c>
      <c r="O38" s="42" t="str">
        <f>IF(AND('Mapa final'!$AB$99="Muy Alta",'Mapa final'!$AD$99="Menor"),CONCATENATE("R33C",'Mapa final'!$R$99),"")</f>
        <v/>
      </c>
      <c r="P38" s="105" t="str">
        <f>IF(AND('Mapa final'!$AB$97="Muy Alta",'Mapa final'!$AD$97="Moderado"),CONCATENATE("R33C",'Mapa final'!$R$97),"")</f>
        <v/>
      </c>
      <c r="Q38" s="42" t="str">
        <f>IF(AND('Mapa final'!$AB$98="Muy Alta",'Mapa final'!$AD$98="Moderado"),CONCATENATE("R33C",'Mapa final'!$R$98),"")</f>
        <v/>
      </c>
      <c r="R38" s="42" t="str">
        <f>IF(AND('Mapa final'!$AB$99="Muy Alta",'Mapa final'!$AD$99="Moderado"),CONCATENATE("R33C",'Mapa final'!$R$99),"")</f>
        <v/>
      </c>
      <c r="S38" s="105" t="str">
        <f>IF(AND('Mapa final'!$AB$97="Muy Alta",'Mapa final'!$AD$97="Mayor"),CONCATENATE("R33C",'Mapa final'!$R$97),"")</f>
        <v/>
      </c>
      <c r="T38" s="42" t="str">
        <f>IF(AND('Mapa final'!$AB$98="Muy Alta",'Mapa final'!$AD$98="Mayor"),CONCATENATE("R33C",'Mapa final'!$R$98),"")</f>
        <v/>
      </c>
      <c r="U38" s="106" t="str">
        <f>IF(AND('Mapa final'!$AB$99="Muy Alta",'Mapa final'!$AD$99="Mayor"),CONCATENATE("R33C",'Mapa final'!$R$99),"")</f>
        <v/>
      </c>
      <c r="V38" s="43" t="str">
        <f>IF(AND('Mapa final'!$AB$97="Muy Alta",'Mapa final'!$AD$97="Catastrófico"),CONCATENATE("R33C",'Mapa final'!$R$97),"")</f>
        <v/>
      </c>
      <c r="W38" s="44" t="str">
        <f>IF(AND('Mapa final'!$AB$98="Muy Alta",'Mapa final'!$AD$98="Catastrófico"),CONCATENATE("R33C",'Mapa final'!$R$98),"")</f>
        <v/>
      </c>
      <c r="X38" s="100" t="str">
        <f>IF(AND('Mapa final'!$AB$99="Muy Alta",'Mapa final'!$AD$99="Catastrófico"),CONCATENATE("R33C",'Mapa final'!$R$99),"")</f>
        <v/>
      </c>
      <c r="Y38" s="56"/>
      <c r="Z38" s="301"/>
      <c r="AA38" s="302"/>
      <c r="AB38" s="302"/>
      <c r="AC38" s="302"/>
      <c r="AD38" s="302"/>
      <c r="AE38" s="303"/>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row>
    <row r="39" spans="1:61" ht="15" customHeight="1" x14ac:dyDescent="0.35">
      <c r="A39" s="56"/>
      <c r="B39" s="307"/>
      <c r="C39" s="307"/>
      <c r="D39" s="308"/>
      <c r="E39" s="284"/>
      <c r="F39" s="297"/>
      <c r="G39" s="297"/>
      <c r="H39" s="297"/>
      <c r="I39" s="279"/>
      <c r="J39" s="105" t="str">
        <f>IF(AND('Mapa final'!$AB$100="Muy Alta",'Mapa final'!$AD$100="Leve"),CONCATENATE("R34C",'Mapa final'!$R$100),"")</f>
        <v/>
      </c>
      <c r="K39" s="42" t="str">
        <f>IF(AND('Mapa final'!$AB$101="Muy Alta",'Mapa final'!$AD$101="Leve"),CONCATENATE("R34C",'Mapa final'!$R$101),"")</f>
        <v/>
      </c>
      <c r="L39" s="106" t="str">
        <f>IF(AND('Mapa final'!$AB$102="Muy Alta",'Mapa final'!$AD$102="Leve"),CONCATENATE("R34C",'Mapa final'!$R$102),"")</f>
        <v/>
      </c>
      <c r="M39" s="105" t="str">
        <f>IF(AND('Mapa final'!$AB$100="Muy Alta",'Mapa final'!$AD$100="Menor"),CONCATENATE("R34C",'Mapa final'!$R$100),"")</f>
        <v/>
      </c>
      <c r="N39" s="42" t="str">
        <f>IF(AND('Mapa final'!$AB$101="Muy Alta",'Mapa final'!$AD$101="Menor"),CONCATENATE("R34C",'Mapa final'!$R$101),"")</f>
        <v/>
      </c>
      <c r="O39" s="106" t="str">
        <f>IF(AND('Mapa final'!$AB$102="Muy Alta",'Mapa final'!$AD$102="Menor"),CONCATENATE("R34C",'Mapa final'!$R$102),"")</f>
        <v/>
      </c>
      <c r="P39" s="105" t="str">
        <f>IF(AND('Mapa final'!$AB$100="Muy Alta",'Mapa final'!$AD$100="Moderado"),CONCATENATE("R34C",'Mapa final'!$R$100),"")</f>
        <v/>
      </c>
      <c r="Q39" s="42" t="str">
        <f>IF(AND('Mapa final'!$AB$101="Muy Alta",'Mapa final'!$AD$101="Moderado"),CONCATENATE("R34C",'Mapa final'!$R$101),"")</f>
        <v/>
      </c>
      <c r="R39" s="106" t="str">
        <f>IF(AND('Mapa final'!$AB$102="Muy Alta",'Mapa final'!$AD$102="Moderado"),CONCATENATE("R34C",'Mapa final'!$R$102),"")</f>
        <v/>
      </c>
      <c r="S39" s="105" t="str">
        <f>IF(AND('Mapa final'!$AB$100="Muy Alta",'Mapa final'!$AD$100="Mayor"),CONCATENATE("R34C",'Mapa final'!$R$100),"")</f>
        <v/>
      </c>
      <c r="T39" s="42" t="str">
        <f>IF(AND('Mapa final'!$AB$101="Muy Alta",'Mapa final'!$AD$101="Mayor"),CONCATENATE("R34C",'Mapa final'!$R$101),"")</f>
        <v/>
      </c>
      <c r="U39" s="106" t="str">
        <f>IF(AND('Mapa final'!$AB$102="Muy Alta",'Mapa final'!$AD$102="Mayor"),CONCATENATE("R34C",'Mapa final'!$R$102),"")</f>
        <v/>
      </c>
      <c r="V39" s="43" t="str">
        <f>IF(AND('Mapa final'!$AB$100="Muy Alta",'Mapa final'!$AD$100="Catastrófico"),CONCATENATE("R34C",'Mapa final'!$R$100),"")</f>
        <v/>
      </c>
      <c r="W39" s="44" t="str">
        <f>IF(AND('Mapa final'!$AB$101="Muy Alta",'Mapa final'!$AD$101="Catastrófico"),CONCATENATE("R34C",'Mapa final'!$R$101),"")</f>
        <v/>
      </c>
      <c r="X39" s="100" t="str">
        <f>IF(AND('Mapa final'!$AB$102="Muy Alta",'Mapa final'!$AD$102="Catastrófico"),CONCATENATE("R34C",'Mapa final'!$R$102),"")</f>
        <v/>
      </c>
      <c r="Y39" s="56"/>
      <c r="Z39" s="301"/>
      <c r="AA39" s="302"/>
      <c r="AB39" s="302"/>
      <c r="AC39" s="302"/>
      <c r="AD39" s="302"/>
      <c r="AE39" s="303"/>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row>
    <row r="40" spans="1:61" ht="15" customHeight="1" x14ac:dyDescent="0.35">
      <c r="A40" s="56"/>
      <c r="B40" s="307"/>
      <c r="C40" s="307"/>
      <c r="D40" s="308"/>
      <c r="E40" s="284"/>
      <c r="F40" s="297"/>
      <c r="G40" s="297"/>
      <c r="H40" s="297"/>
      <c r="I40" s="279"/>
      <c r="J40" s="105" t="str">
        <f>IF(AND('Mapa final'!$AB$103="Muy Alta",'Mapa final'!$AD$103="Leve"),CONCATENATE("R35C",'Mapa final'!$R$103),"")</f>
        <v/>
      </c>
      <c r="K40" s="42" t="str">
        <f>IF(AND('Mapa final'!$AB$104="Muy Alta",'Mapa final'!$AD$104="Leve"),CONCATENATE("R35C",'Mapa final'!$R$104),"")</f>
        <v/>
      </c>
      <c r="L40" s="106" t="str">
        <f>IF(AND('Mapa final'!$AB$105="Muy Alta",'Mapa final'!$AD$105="Leve"),CONCATENATE("R35C",'Mapa final'!$R$105),"")</f>
        <v/>
      </c>
      <c r="M40" s="105" t="str">
        <f>IF(AND('Mapa final'!$AB$103="Muy Alta",'Mapa final'!$AD$103="Menor"),CONCATENATE("R35C",'Mapa final'!$R$103),"")</f>
        <v/>
      </c>
      <c r="N40" s="42" t="str">
        <f>IF(AND('Mapa final'!$AB$104="Muy Alta",'Mapa final'!$AD$104="Menor"),CONCATENATE("R35C",'Mapa final'!$R$104),"")</f>
        <v/>
      </c>
      <c r="O40" s="106" t="str">
        <f>IF(AND('Mapa final'!$AB$105="Muy Alta",'Mapa final'!$AD$105="Menor"),CONCATENATE("R35C",'Mapa final'!$R$105),"")</f>
        <v/>
      </c>
      <c r="P40" s="105" t="str">
        <f>IF(AND('Mapa final'!$AB$103="Muy Alta",'Mapa final'!$AD$103="Moderado"),CONCATENATE("R35C",'Mapa final'!$R$103),"")</f>
        <v/>
      </c>
      <c r="Q40" s="42" t="str">
        <f>IF(AND('Mapa final'!$AB$104="Muy Alta",'Mapa final'!$AD$104="Moderado"),CONCATENATE("R35C",'Mapa final'!$R$104),"")</f>
        <v/>
      </c>
      <c r="R40" s="106" t="str">
        <f>IF(AND('Mapa final'!$AB$105="Muy Alta",'Mapa final'!$AD$105="Moderado"),CONCATENATE("R35C",'Mapa final'!$R$105),"")</f>
        <v/>
      </c>
      <c r="S40" s="105" t="str">
        <f>IF(AND('Mapa final'!$AB$103="Muy Alta",'Mapa final'!$AD$103="Mayor"),CONCATENATE("R35C",'Mapa final'!$R$103),"")</f>
        <v/>
      </c>
      <c r="T40" s="42" t="str">
        <f>IF(AND('Mapa final'!$AB$104="Muy Alta",'Mapa final'!$AD$104="Mayor"),CONCATENATE("R35C",'Mapa final'!$R$104),"")</f>
        <v/>
      </c>
      <c r="U40" s="106" t="str">
        <f>IF(AND('Mapa final'!$AB$105="Muy Alta",'Mapa final'!$AD$105="Mayor"),CONCATENATE("R35C",'Mapa final'!$R$105),"")</f>
        <v/>
      </c>
      <c r="V40" s="43" t="str">
        <f>IF(AND('Mapa final'!$AB$103="Muy Alta",'Mapa final'!$AD$103="Catastrófico"),CONCATENATE("R35C",'Mapa final'!$R$103),"")</f>
        <v/>
      </c>
      <c r="W40" s="44" t="str">
        <f>IF(AND('Mapa final'!$AB$104="Muy Alta",'Mapa final'!$AD$104="Catastrófico"),CONCATENATE("R35C",'Mapa final'!$R$104),"")</f>
        <v/>
      </c>
      <c r="X40" s="100" t="str">
        <f>IF(AND('Mapa final'!$AB$105="Muy Alta",'Mapa final'!$AD$105="Catastrófico"),CONCATENATE("R35C",'Mapa final'!$R$105),"")</f>
        <v/>
      </c>
      <c r="Y40" s="56"/>
      <c r="Z40" s="301"/>
      <c r="AA40" s="302"/>
      <c r="AB40" s="302"/>
      <c r="AC40" s="302"/>
      <c r="AD40" s="302"/>
      <c r="AE40" s="303"/>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 customHeight="1" x14ac:dyDescent="0.35">
      <c r="A41" s="56"/>
      <c r="B41" s="307"/>
      <c r="C41" s="307"/>
      <c r="D41" s="308"/>
      <c r="E41" s="284"/>
      <c r="F41" s="297"/>
      <c r="G41" s="297"/>
      <c r="H41" s="297"/>
      <c r="I41" s="279"/>
      <c r="J41" s="105" t="str">
        <f>IF(AND('Mapa final'!$AB$106="Muy Alta",'Mapa final'!$AD$106="Leve"),CONCATENATE("R36C",'Mapa final'!$R$106),"")</f>
        <v/>
      </c>
      <c r="K41" s="42" t="str">
        <f>IF(AND('Mapa final'!$AB$107="Muy Alta",'Mapa final'!$AD$107="Leve"),CONCATENATE("R36C",'Mapa final'!$R$107),"")</f>
        <v/>
      </c>
      <c r="L41" s="106" t="str">
        <f>IF(AND('Mapa final'!$AB$108="Muy Alta",'Mapa final'!$AD$108="Leve"),CONCATENATE("R36C",'Mapa final'!$R$108),"")</f>
        <v/>
      </c>
      <c r="M41" s="105" t="str">
        <f>IF(AND('Mapa final'!$AB$106="Muy Alta",'Mapa final'!$AD$106="Menor"),CONCATENATE("R36C",'Mapa final'!$R$106),"")</f>
        <v/>
      </c>
      <c r="N41" s="42" t="str">
        <f>IF(AND('Mapa final'!$AB$107="Muy Alta",'Mapa final'!$AD$107="Menor"),CONCATENATE("R36C",'Mapa final'!$R$107),"")</f>
        <v/>
      </c>
      <c r="O41" s="106" t="str">
        <f>IF(AND('Mapa final'!$AB$108="Muy Alta",'Mapa final'!$AD$108="Menor"),CONCATENATE("R36C",'Mapa final'!$R$108),"")</f>
        <v/>
      </c>
      <c r="P41" s="105" t="str">
        <f>IF(AND('Mapa final'!$AB$106="Muy Alta",'Mapa final'!$AD$106="Moderado"),CONCATENATE("R36C",'Mapa final'!$R$106),"")</f>
        <v/>
      </c>
      <c r="Q41" s="42" t="str">
        <f>IF(AND('Mapa final'!$AB$107="Muy Alta",'Mapa final'!$AD$107="Moderado"),CONCATENATE("R36C",'Mapa final'!$R$107),"")</f>
        <v/>
      </c>
      <c r="R41" s="106" t="str">
        <f>IF(AND('Mapa final'!$AB$108="Muy Alta",'Mapa final'!$AD$108="Moderado"),CONCATENATE("R36C",'Mapa final'!$R$108),"")</f>
        <v/>
      </c>
      <c r="S41" s="105" t="str">
        <f>IF(AND('Mapa final'!$AB$106="Muy Alta",'Mapa final'!$AD$106="Mayor"),CONCATENATE("R36C",'Mapa final'!$R$106),"")</f>
        <v/>
      </c>
      <c r="T41" s="42" t="str">
        <f>IF(AND('Mapa final'!$AB$107="Muy Alta",'Mapa final'!$AD$107="Mayor"),CONCATENATE("R36C",'Mapa final'!$R$107),"")</f>
        <v/>
      </c>
      <c r="U41" s="106" t="str">
        <f>IF(AND('Mapa final'!$AB$108="Muy Alta",'Mapa final'!$AD$108="Mayor"),CONCATENATE("R36C",'Mapa final'!$R$108),"")</f>
        <v/>
      </c>
      <c r="V41" s="43" t="str">
        <f>IF(AND('Mapa final'!$AB$106="Muy Alta",'Mapa final'!$AD$106="Catastrófico"),CONCATENATE("R36C",'Mapa final'!$R$106),"")</f>
        <v/>
      </c>
      <c r="W41" s="44" t="str">
        <f>IF(AND('Mapa final'!$AB$107="Muy Alta",'Mapa final'!$AD$107="Catastrófico"),CONCATENATE("R36C",'Mapa final'!$R$107),"")</f>
        <v/>
      </c>
      <c r="X41" s="100" t="str">
        <f>IF(AND('Mapa final'!$AB$108="Muy Alta",'Mapa final'!$AD$108="Catastrófico"),CONCATENATE("R36C",'Mapa final'!$R$108),"")</f>
        <v/>
      </c>
      <c r="Y41" s="56"/>
      <c r="Z41" s="301"/>
      <c r="AA41" s="302"/>
      <c r="AB41" s="302"/>
      <c r="AC41" s="302"/>
      <c r="AD41" s="302"/>
      <c r="AE41" s="303"/>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5" customHeight="1" x14ac:dyDescent="0.35">
      <c r="A42" s="56"/>
      <c r="B42" s="307"/>
      <c r="C42" s="307"/>
      <c r="D42" s="308"/>
      <c r="E42" s="284"/>
      <c r="F42" s="297"/>
      <c r="G42" s="297"/>
      <c r="H42" s="297"/>
      <c r="I42" s="279"/>
      <c r="J42" s="105" t="str">
        <f>IF(AND('Mapa final'!$AB$109="Muy Alta",'Mapa final'!$AD$109="Leve"),CONCATENATE("R37C",'Mapa final'!$R$109),"")</f>
        <v/>
      </c>
      <c r="K42" s="42" t="str">
        <f>IF(AND('Mapa final'!$AB$110="Muy Alta",'Mapa final'!$AD$110="Leve"),CONCATENATE("R37C",'Mapa final'!$R$110),"")</f>
        <v/>
      </c>
      <c r="L42" s="106" t="str">
        <f>IF(AND('Mapa final'!$AB$111="Muy Alta",'Mapa final'!$AD$111="Leve"),CONCATENATE("R37C",'Mapa final'!$R$111),"")</f>
        <v/>
      </c>
      <c r="M42" s="105" t="str">
        <f>IF(AND('Mapa final'!$AB$109="Muy Alta",'Mapa final'!$AD$109="Menor"),CONCATENATE("R37C",'Mapa final'!$R$109),"")</f>
        <v/>
      </c>
      <c r="N42" s="42" t="str">
        <f>IF(AND('Mapa final'!$AB$110="Muy Alta",'Mapa final'!$AD$110="Menor"),CONCATENATE("R37C",'Mapa final'!$R$110),"")</f>
        <v/>
      </c>
      <c r="O42" s="106" t="str">
        <f>IF(AND('Mapa final'!$AB$111="Muy Alta",'Mapa final'!$AD$111="Menor"),CONCATENATE("R37C",'Mapa final'!$R$111),"")</f>
        <v/>
      </c>
      <c r="P42" s="105" t="str">
        <f>IF(AND('Mapa final'!$AB$109="Muy Alta",'Mapa final'!$AD$109="Moderado"),CONCATENATE("R37C",'Mapa final'!$R$109),"")</f>
        <v/>
      </c>
      <c r="Q42" s="42" t="str">
        <f>IF(AND('Mapa final'!$AB$110="Muy Alta",'Mapa final'!$AD$110="Moderado"),CONCATENATE("R37C",'Mapa final'!$R$110),"")</f>
        <v/>
      </c>
      <c r="R42" s="106" t="str">
        <f>IF(AND('Mapa final'!$AB$111="Muy Alta",'Mapa final'!$AD$111="Moderado"),CONCATENATE("R37C",'Mapa final'!$R$111),"")</f>
        <v/>
      </c>
      <c r="S42" s="105" t="str">
        <f>IF(AND('Mapa final'!$AB$109="Muy Alta",'Mapa final'!$AD$109="Mayor"),CONCATENATE("R37C",'Mapa final'!$R$109),"")</f>
        <v/>
      </c>
      <c r="T42" s="42" t="str">
        <f>IF(AND('Mapa final'!$AB$110="Muy Alta",'Mapa final'!$AD$110="Mayor"),CONCATENATE("R37C",'Mapa final'!$R$110),"")</f>
        <v/>
      </c>
      <c r="U42" s="106" t="str">
        <f>IF(AND('Mapa final'!$AB$111="Muy Alta",'Mapa final'!$AD$111="Mayor"),CONCATENATE("R37C",'Mapa final'!$R$111),"")</f>
        <v/>
      </c>
      <c r="V42" s="43" t="str">
        <f>IF(AND('Mapa final'!$AB$109="Muy Alta",'Mapa final'!$AD$109="Catastrófico"),CONCATENATE("R37C",'Mapa final'!$R$109),"")</f>
        <v/>
      </c>
      <c r="W42" s="44" t="str">
        <f>IF(AND('Mapa final'!$AB$110="Muy Alta",'Mapa final'!$AD$110="Catastrófico"),CONCATENATE("R37C",'Mapa final'!$R$110),"")</f>
        <v/>
      </c>
      <c r="X42" s="100" t="str">
        <f>IF(AND('Mapa final'!$AB$111="Muy Alta",'Mapa final'!$AD$111="Catastrófico"),CONCATENATE("R37C",'Mapa final'!$R$111),"")</f>
        <v/>
      </c>
      <c r="Y42" s="56"/>
      <c r="Z42" s="301"/>
      <c r="AA42" s="302"/>
      <c r="AB42" s="302"/>
      <c r="AC42" s="302"/>
      <c r="AD42" s="302"/>
      <c r="AE42" s="303"/>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15" customHeight="1" x14ac:dyDescent="0.35">
      <c r="A43" s="56"/>
      <c r="B43" s="307"/>
      <c r="C43" s="307"/>
      <c r="D43" s="308"/>
      <c r="E43" s="284"/>
      <c r="F43" s="297"/>
      <c r="G43" s="297"/>
      <c r="H43" s="297"/>
      <c r="I43" s="279"/>
      <c r="J43" s="105" t="str">
        <f>IF(AND('Mapa final'!$AB$112="Muy Alta",'Mapa final'!$AD$112="Leve"),CONCATENATE("R38C",'Mapa final'!$R$112),"")</f>
        <v/>
      </c>
      <c r="K43" s="42" t="str">
        <f>IF(AND('Mapa final'!$AB$113="Muy Alta",'Mapa final'!$AD$113="Leve"),CONCATENATE("R38C",'Mapa final'!$R$113),"")</f>
        <v/>
      </c>
      <c r="L43" s="106" t="str">
        <f>IF(AND('Mapa final'!$AB$114="Muy Alta",'Mapa final'!$AD$114="Leve"),CONCATENATE("R38C",'Mapa final'!$R$114),"")</f>
        <v/>
      </c>
      <c r="M43" s="105" t="str">
        <f>IF(AND('Mapa final'!$AB$112="Muy Alta",'Mapa final'!$AD$112="Menor"),CONCATENATE("R38C",'Mapa final'!$R$112),"")</f>
        <v/>
      </c>
      <c r="N43" s="42" t="str">
        <f>IF(AND('Mapa final'!$AB$113="Muy Alta",'Mapa final'!$AD$113="Menor"),CONCATENATE("R38C",'Mapa final'!$R$113),"")</f>
        <v/>
      </c>
      <c r="O43" s="106" t="str">
        <f>IF(AND('Mapa final'!$AB$114="Muy Alta",'Mapa final'!$AD$114="Menor"),CONCATENATE("R38C",'Mapa final'!$R$114),"")</f>
        <v/>
      </c>
      <c r="P43" s="105" t="str">
        <f>IF(AND('Mapa final'!$AB$112="Muy Alta",'Mapa final'!$AD$112="Moderado"),CONCATENATE("R38C",'Mapa final'!$R$112),"")</f>
        <v/>
      </c>
      <c r="Q43" s="42" t="str">
        <f>IF(AND('Mapa final'!$AB$113="Muy Alta",'Mapa final'!$AD$113="Moderado"),CONCATENATE("R38C",'Mapa final'!$R$113),"")</f>
        <v/>
      </c>
      <c r="R43" s="106" t="str">
        <f>IF(AND('Mapa final'!$AB$114="Muy Alta",'Mapa final'!$AD$114="Moderado"),CONCATENATE("R38C",'Mapa final'!$R$114),"")</f>
        <v/>
      </c>
      <c r="S43" s="105" t="str">
        <f>IF(AND('Mapa final'!$AB$112="Muy Alta",'Mapa final'!$AD$112="Mayor"),CONCATENATE("R38C",'Mapa final'!$R$112),"")</f>
        <v/>
      </c>
      <c r="T43" s="42" t="str">
        <f>IF(AND('Mapa final'!$AB$113="Muy Alta",'Mapa final'!$AD$113="Mayor"),CONCATENATE("R38C",'Mapa final'!$R$113),"")</f>
        <v/>
      </c>
      <c r="U43" s="106" t="str">
        <f>IF(AND('Mapa final'!$AB$114="Muy Alta",'Mapa final'!$AD$114="Mayor"),CONCATENATE("R38C",'Mapa final'!$R$114),"")</f>
        <v/>
      </c>
      <c r="V43" s="43" t="str">
        <f>IF(AND('Mapa final'!$AB$112="Muy Alta",'Mapa final'!$AD$112="Catastrófico"),CONCATENATE("R38C",'Mapa final'!$R$112),"")</f>
        <v/>
      </c>
      <c r="W43" s="44" t="str">
        <f>IF(AND('Mapa final'!$AB$113="Muy Alta",'Mapa final'!$AD$113="Catastrófico"),CONCATENATE("R38C",'Mapa final'!$R$113),"")</f>
        <v/>
      </c>
      <c r="X43" s="100" t="str">
        <f>IF(AND('Mapa final'!$AB$114="Muy Alta",'Mapa final'!$AD$114="Catastrófico"),CONCATENATE("R38C",'Mapa final'!$R$114),"")</f>
        <v/>
      </c>
      <c r="Y43" s="56"/>
      <c r="Z43" s="301"/>
      <c r="AA43" s="302"/>
      <c r="AB43" s="302"/>
      <c r="AC43" s="302"/>
      <c r="AD43" s="302"/>
      <c r="AE43" s="303"/>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row>
    <row r="44" spans="1:61" ht="15" customHeight="1" x14ac:dyDescent="0.35">
      <c r="A44" s="56"/>
      <c r="B44" s="307"/>
      <c r="C44" s="307"/>
      <c r="D44" s="308"/>
      <c r="E44" s="284"/>
      <c r="F44" s="297"/>
      <c r="G44" s="297"/>
      <c r="H44" s="297"/>
      <c r="I44" s="279"/>
      <c r="J44" s="105" t="str">
        <f>IF(AND('Mapa final'!$AB$115="Muy Alta",'Mapa final'!$AD$115="Leve"),CONCATENATE("R39C",'Mapa final'!$R$115),"")</f>
        <v/>
      </c>
      <c r="K44" s="42" t="str">
        <f>IF(AND('Mapa final'!$AB$116="Muy Alta",'Mapa final'!$AD$116="Leve"),CONCATENATE("R39C",'Mapa final'!$R$116),"")</f>
        <v/>
      </c>
      <c r="L44" s="106" t="str">
        <f>IF(AND('Mapa final'!$AB$117="Muy Alta",'Mapa final'!$AD$117="Leve"),CONCATENATE("R39C",'Mapa final'!$R$117),"")</f>
        <v/>
      </c>
      <c r="M44" s="105" t="str">
        <f>IF(AND('Mapa final'!$AB$115="Muy Alta",'Mapa final'!$AD$115="Menor"),CONCATENATE("R39C",'Mapa final'!$R$115),"")</f>
        <v/>
      </c>
      <c r="N44" s="42" t="str">
        <f>IF(AND('Mapa final'!$AB$116="Muy Alta",'Mapa final'!$AD$116="Menor"),CONCATENATE("R39C",'Mapa final'!$R$116),"")</f>
        <v/>
      </c>
      <c r="O44" s="106" t="str">
        <f>IF(AND('Mapa final'!$AB$117="Muy Alta",'Mapa final'!$AD$117="Menor"),CONCATENATE("R39C",'Mapa final'!$R$117),"")</f>
        <v/>
      </c>
      <c r="P44" s="105" t="str">
        <f>IF(AND('Mapa final'!$AB$115="Muy Alta",'Mapa final'!$AD$115="Moderado"),CONCATENATE("R39C",'Mapa final'!$R$115),"")</f>
        <v/>
      </c>
      <c r="Q44" s="42" t="str">
        <f>IF(AND('Mapa final'!$AB$116="Muy Alta",'Mapa final'!$AD$116="Moderado"),CONCATENATE("R39C",'Mapa final'!$R$116),"")</f>
        <v/>
      </c>
      <c r="R44" s="106" t="str">
        <f>IF(AND('Mapa final'!$AB$117="Muy Alta",'Mapa final'!$AD$117="Moderado"),CONCATENATE("R39C",'Mapa final'!$R$117),"")</f>
        <v/>
      </c>
      <c r="S44" s="105" t="str">
        <f>IF(AND('Mapa final'!$AB$115="Muy Alta",'Mapa final'!$AD$115="Mayor"),CONCATENATE("R39C",'Mapa final'!$R$115),"")</f>
        <v/>
      </c>
      <c r="T44" s="42" t="str">
        <f>IF(AND('Mapa final'!$AB$116="Muy Alta",'Mapa final'!$AD$116="Mayor"),CONCATENATE("R39C",'Mapa final'!$R$116),"")</f>
        <v/>
      </c>
      <c r="U44" s="106" t="str">
        <f>IF(AND('Mapa final'!$AB$117="Muy Alta",'Mapa final'!$AD$117="Mayor"),CONCATENATE("R39C",'Mapa final'!$R$117),"")</f>
        <v/>
      </c>
      <c r="V44" s="43" t="str">
        <f>IF(AND('Mapa final'!$AB$115="Muy Alta",'Mapa final'!$AD$115="Catastrófico"),CONCATENATE("R39C",'Mapa final'!$R$115),"")</f>
        <v/>
      </c>
      <c r="W44" s="44" t="str">
        <f>IF(AND('Mapa final'!$AB$116="Muy Alta",'Mapa final'!$AD$116="Catastrófico"),CONCATENATE("R39C",'Mapa final'!$R$116),"")</f>
        <v/>
      </c>
      <c r="X44" s="100" t="str">
        <f>IF(AND('Mapa final'!$AB$117="Muy Alta",'Mapa final'!$AD$117="Catastrófico"),CONCATENATE("R39C",'Mapa final'!$R$117),"")</f>
        <v/>
      </c>
      <c r="Y44" s="56"/>
      <c r="Z44" s="301"/>
      <c r="AA44" s="302"/>
      <c r="AB44" s="302"/>
      <c r="AC44" s="302"/>
      <c r="AD44" s="302"/>
      <c r="AE44" s="303"/>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row>
    <row r="45" spans="1:61" ht="15" customHeight="1" x14ac:dyDescent="0.35">
      <c r="A45" s="56"/>
      <c r="B45" s="307"/>
      <c r="C45" s="307"/>
      <c r="D45" s="308"/>
      <c r="E45" s="284"/>
      <c r="F45" s="297"/>
      <c r="G45" s="297"/>
      <c r="H45" s="297"/>
      <c r="I45" s="279"/>
      <c r="J45" s="105" t="str">
        <f>IF(AND('Mapa final'!$AB$118="Muy Alta",'Mapa final'!$AD$118="Leve"),CONCATENATE("R40C",'Mapa final'!$R$118),"")</f>
        <v/>
      </c>
      <c r="K45" s="42" t="str">
        <f>IF(AND('Mapa final'!$AB$119="Muy Alta",'Mapa final'!$AD$119="Leve"),CONCATENATE("R40C",'Mapa final'!$R$119),"")</f>
        <v/>
      </c>
      <c r="L45" s="106" t="str">
        <f>IF(AND('Mapa final'!$AB$120="Muy Alta",'Mapa final'!$AD$120="Leve"),CONCATENATE("R40C",'Mapa final'!$R$120),"")</f>
        <v/>
      </c>
      <c r="M45" s="105" t="str">
        <f>IF(AND('Mapa final'!$AB$118="Muy Alta",'Mapa final'!$AD$118="Menor"),CONCATENATE("R40C",'Mapa final'!$R$118),"")</f>
        <v/>
      </c>
      <c r="N45" s="42" t="str">
        <f>IF(AND('Mapa final'!$AB$119="Muy Alta",'Mapa final'!$AD$119="Menor"),CONCATENATE("R40C",'Mapa final'!$R$119),"")</f>
        <v/>
      </c>
      <c r="O45" s="106" t="str">
        <f>IF(AND('Mapa final'!$AB$120="Muy Alta",'Mapa final'!$AD$120="Menor"),CONCATENATE("R40C",'Mapa final'!$R$120),"")</f>
        <v/>
      </c>
      <c r="P45" s="105" t="str">
        <f>IF(AND('Mapa final'!$AB$118="Muy Alta",'Mapa final'!$AD$118="Moderado"),CONCATENATE("R40C",'Mapa final'!$R$118),"")</f>
        <v/>
      </c>
      <c r="Q45" s="42" t="str">
        <f>IF(AND('Mapa final'!$AB$119="Muy Alta",'Mapa final'!$AD$119="Moderado"),CONCATENATE("R40C",'Mapa final'!$R$119),"")</f>
        <v/>
      </c>
      <c r="R45" s="106" t="str">
        <f>IF(AND('Mapa final'!$AB$120="Muy Alta",'Mapa final'!$AD$120="Moderado"),CONCATENATE("R40C",'Mapa final'!$R$120),"")</f>
        <v/>
      </c>
      <c r="S45" s="105" t="str">
        <f>IF(AND('Mapa final'!$AB$118="Muy Alta",'Mapa final'!$AD$118="Mayor"),CONCATENATE("R40C",'Mapa final'!$R$118),"")</f>
        <v/>
      </c>
      <c r="T45" s="42" t="str">
        <f>IF(AND('Mapa final'!$AB$119="Muy Alta",'Mapa final'!$AD$119="Mayor"),CONCATENATE("R40C",'Mapa final'!$R$119),"")</f>
        <v/>
      </c>
      <c r="U45" s="106" t="str">
        <f>IF(AND('Mapa final'!$AB$120="Muy Alta",'Mapa final'!$AD$120="Mayor"),CONCATENATE("R40C",'Mapa final'!$R$120),"")</f>
        <v/>
      </c>
      <c r="V45" s="43" t="str">
        <f>IF(AND('Mapa final'!$AB$118="Muy Alta",'Mapa final'!$AD$118="Catastrófico"),CONCATENATE("R40C",'Mapa final'!$R$118),"")</f>
        <v/>
      </c>
      <c r="W45" s="44" t="str">
        <f>IF(AND('Mapa final'!$AB$119="Muy Alta",'Mapa final'!$AD$119="Catastrófico"),CONCATENATE("R40C",'Mapa final'!$R$119),"")</f>
        <v/>
      </c>
      <c r="X45" s="100" t="str">
        <f>IF(AND('Mapa final'!$AB$120="Muy Alta",'Mapa final'!$AD$120="Catastrófico"),CONCATENATE("R40C",'Mapa final'!$R$120),"")</f>
        <v/>
      </c>
      <c r="Y45" s="56"/>
      <c r="Z45" s="301"/>
      <c r="AA45" s="302"/>
      <c r="AB45" s="302"/>
      <c r="AC45" s="302"/>
      <c r="AD45" s="302"/>
      <c r="AE45" s="303"/>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row>
    <row r="46" spans="1:61" ht="15" customHeight="1" x14ac:dyDescent="0.35">
      <c r="A46" s="56"/>
      <c r="B46" s="307"/>
      <c r="C46" s="307"/>
      <c r="D46" s="308"/>
      <c r="E46" s="284"/>
      <c r="F46" s="297"/>
      <c r="G46" s="297"/>
      <c r="H46" s="297"/>
      <c r="I46" s="279"/>
      <c r="J46" s="105" t="str">
        <f>IF(AND('Mapa final'!$AB$121="Muy Alta",'Mapa final'!$AD$121="Leve"),CONCATENATE("R41C",'Mapa final'!$R$121),"")</f>
        <v/>
      </c>
      <c r="K46" s="42" t="str">
        <f>IF(AND('Mapa final'!$AB$122="Muy Alta",'Mapa final'!$AD$122="Leve"),CONCATENATE("R41C",'Mapa final'!$R$122),"")</f>
        <v/>
      </c>
      <c r="L46" s="106" t="str">
        <f>IF(AND('Mapa final'!$AB$123="Muy Alta",'Mapa final'!$AD$123="Leve"),CONCATENATE("R41C",'Mapa final'!$R$123),"")</f>
        <v/>
      </c>
      <c r="M46" s="105" t="str">
        <f>IF(AND('Mapa final'!$AB$121="Muy Alta",'Mapa final'!$AD$121="Menor"),CONCATENATE("R41C",'Mapa final'!$R$121),"")</f>
        <v/>
      </c>
      <c r="N46" s="42" t="str">
        <f>IF(AND('Mapa final'!$AB$122="Muy Alta",'Mapa final'!$AD$122="Menor"),CONCATENATE("R41C",'Mapa final'!$R$122),"")</f>
        <v/>
      </c>
      <c r="O46" s="106" t="str">
        <f>IF(AND('Mapa final'!$AB$123="Muy Alta",'Mapa final'!$AD$123="Menor"),CONCATENATE("R41C",'Mapa final'!$R$123),"")</f>
        <v/>
      </c>
      <c r="P46" s="105" t="str">
        <f>IF(AND('Mapa final'!$AB$121="Muy Alta",'Mapa final'!$AD$121="Moderado"),CONCATENATE("R41C",'Mapa final'!$R$121),"")</f>
        <v/>
      </c>
      <c r="Q46" s="42" t="str">
        <f>IF(AND('Mapa final'!$AB$122="Muy Alta",'Mapa final'!$AD$122="Moderado"),CONCATENATE("R41C",'Mapa final'!$R$122),"")</f>
        <v/>
      </c>
      <c r="R46" s="106" t="str">
        <f>IF(AND('Mapa final'!$AB$123="Muy Alta",'Mapa final'!$AD$123="Moderado"),CONCATENATE("R41C",'Mapa final'!$R$123),"")</f>
        <v/>
      </c>
      <c r="S46" s="105" t="str">
        <f>IF(AND('Mapa final'!$AB$121="Muy Alta",'Mapa final'!$AD$121="Mayor"),CONCATENATE("R41C",'Mapa final'!$R$121),"")</f>
        <v/>
      </c>
      <c r="T46" s="42" t="str">
        <f>IF(AND('Mapa final'!$AB$122="Muy Alta",'Mapa final'!$AD$122="Mayor"),CONCATENATE("R41C",'Mapa final'!$R$122),"")</f>
        <v/>
      </c>
      <c r="U46" s="106" t="str">
        <f>IF(AND('Mapa final'!$AB$123="Muy Alta",'Mapa final'!$AD$123="Mayor"),CONCATENATE("R41C",'Mapa final'!$R$123),"")</f>
        <v/>
      </c>
      <c r="V46" s="43" t="str">
        <f>IF(AND('Mapa final'!$AB$121="Muy Alta",'Mapa final'!$AD$121="Catastrófico"),CONCATENATE("R41C",'Mapa final'!$R$121),"")</f>
        <v/>
      </c>
      <c r="W46" s="44" t="str">
        <f>IF(AND('Mapa final'!$AB$122="Muy Alta",'Mapa final'!$AD$122="Catastrófico"),CONCATENATE("R41C",'Mapa final'!$R$122),"")</f>
        <v/>
      </c>
      <c r="X46" s="100" t="str">
        <f>IF(AND('Mapa final'!$AB$123="Muy Alta",'Mapa final'!$AD$123="Catastrófico"),CONCATENATE("R41C",'Mapa final'!$R$123),"")</f>
        <v/>
      </c>
      <c r="Y46" s="56"/>
      <c r="Z46" s="301"/>
      <c r="AA46" s="302"/>
      <c r="AB46" s="302"/>
      <c r="AC46" s="302"/>
      <c r="AD46" s="302"/>
      <c r="AE46" s="303"/>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row>
    <row r="47" spans="1:61" ht="15" customHeight="1" x14ac:dyDescent="0.35">
      <c r="A47" s="56"/>
      <c r="B47" s="307"/>
      <c r="C47" s="307"/>
      <c r="D47" s="308"/>
      <c r="E47" s="284"/>
      <c r="F47" s="297"/>
      <c r="G47" s="297"/>
      <c r="H47" s="297"/>
      <c r="I47" s="279"/>
      <c r="J47" s="105" t="str">
        <f>IF(AND('Mapa final'!$AB$124="Muy Alta",'Mapa final'!$AD$124="Leve"),CONCATENATE("R42C",'Mapa final'!$R$124),"")</f>
        <v/>
      </c>
      <c r="K47" s="42" t="str">
        <f>IF(AND('Mapa final'!$AB$125="Muy Alta",'Mapa final'!$AD$125="Leve"),CONCATENATE("R42C",'Mapa final'!$R$125),"")</f>
        <v/>
      </c>
      <c r="L47" s="106" t="str">
        <f>IF(AND('Mapa final'!$AB$126="Muy Alta",'Mapa final'!$AD$126="Leve"),CONCATENATE("R42C",'Mapa final'!$R$126),"")</f>
        <v/>
      </c>
      <c r="M47" s="105" t="str">
        <f>IF(AND('Mapa final'!$AB$124="Muy Alta",'Mapa final'!$AD$124="Menor"),CONCATENATE("R42C",'Mapa final'!$R$124),"")</f>
        <v/>
      </c>
      <c r="N47" s="42" t="str">
        <f>IF(AND('Mapa final'!$AB$125="Muy Alta",'Mapa final'!$AD$125="Menor"),CONCATENATE("R42C",'Mapa final'!$R$125),"")</f>
        <v/>
      </c>
      <c r="O47" s="106" t="str">
        <f>IF(AND('Mapa final'!$AB$126="Muy Alta",'Mapa final'!$AD$126="Menor"),CONCATENATE("R42C",'Mapa final'!$R$126),"")</f>
        <v/>
      </c>
      <c r="P47" s="105" t="str">
        <f>IF(AND('Mapa final'!$AB$124="Muy Alta",'Mapa final'!$AD$124="Moderado"),CONCATENATE("R42C",'Mapa final'!$R$124),"")</f>
        <v/>
      </c>
      <c r="Q47" s="42" t="str">
        <f>IF(AND('Mapa final'!$AB$125="Muy Alta",'Mapa final'!$AD$125="Moderado"),CONCATENATE("R42C",'Mapa final'!$R$125),"")</f>
        <v/>
      </c>
      <c r="R47" s="106" t="str">
        <f>IF(AND('Mapa final'!$AB$126="Muy Alta",'Mapa final'!$AD$126="Moderado"),CONCATENATE("R42C",'Mapa final'!$R$126),"")</f>
        <v/>
      </c>
      <c r="S47" s="105" t="str">
        <f>IF(AND('Mapa final'!$AB$124="Muy Alta",'Mapa final'!$AD$124="Mayor"),CONCATENATE("R42C",'Mapa final'!$R$124),"")</f>
        <v/>
      </c>
      <c r="T47" s="42" t="str">
        <f>IF(AND('Mapa final'!$AB$125="Muy Alta",'Mapa final'!$AD$125="Mayor"),CONCATENATE("R42C",'Mapa final'!$R$125),"")</f>
        <v/>
      </c>
      <c r="U47" s="106" t="str">
        <f>IF(AND('Mapa final'!$AB$126="Muy Alta",'Mapa final'!$AD$126="Mayor"),CONCATENATE("R42C",'Mapa final'!$R$126),"")</f>
        <v/>
      </c>
      <c r="V47" s="43" t="str">
        <f>IF(AND('Mapa final'!$AB$124="Muy Alta",'Mapa final'!$AD$124="Catastrófico"),CONCATENATE("R42C",'Mapa final'!$R$124),"")</f>
        <v/>
      </c>
      <c r="W47" s="44" t="str">
        <f>IF(AND('Mapa final'!$AB$125="Muy Alta",'Mapa final'!$AD$125="Catastrófico"),CONCATENATE("R42C",'Mapa final'!$R$125),"")</f>
        <v/>
      </c>
      <c r="X47" s="100" t="str">
        <f>IF(AND('Mapa final'!$AB$126="Muy Alta",'Mapa final'!$AD$126="Catastrófico"),CONCATENATE("R42C",'Mapa final'!$R$126),"")</f>
        <v/>
      </c>
      <c r="Y47" s="56"/>
      <c r="Z47" s="301"/>
      <c r="AA47" s="302"/>
      <c r="AB47" s="302"/>
      <c r="AC47" s="302"/>
      <c r="AD47" s="302"/>
      <c r="AE47" s="303"/>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row>
    <row r="48" spans="1:61" ht="15" customHeight="1" x14ac:dyDescent="0.35">
      <c r="A48" s="56"/>
      <c r="B48" s="307"/>
      <c r="C48" s="307"/>
      <c r="D48" s="308"/>
      <c r="E48" s="284"/>
      <c r="F48" s="297"/>
      <c r="G48" s="297"/>
      <c r="H48" s="297"/>
      <c r="I48" s="279"/>
      <c r="J48" s="105" t="str">
        <f>IF(AND('Mapa final'!$AB$127="Muy Alta",'Mapa final'!$AD$127="Leve"),CONCATENATE("R43C",'Mapa final'!$R$127),"")</f>
        <v/>
      </c>
      <c r="K48" s="42" t="str">
        <f>IF(AND('Mapa final'!$AB$128="Muy Alta",'Mapa final'!$AD$128="Leve"),CONCATENATE("R43C",'Mapa final'!$R$128),"")</f>
        <v/>
      </c>
      <c r="L48" s="106" t="str">
        <f>IF(AND('Mapa final'!$AB$129="Muy Alta",'Mapa final'!$AD$129="Leve"),CONCATENATE("R43C",'Mapa final'!$R$129),"")</f>
        <v/>
      </c>
      <c r="M48" s="105" t="str">
        <f>IF(AND('Mapa final'!$AB$127="Muy Alta",'Mapa final'!$AD$127="Menor"),CONCATENATE("R43C",'Mapa final'!$R$127),"")</f>
        <v/>
      </c>
      <c r="N48" s="42" t="str">
        <f>IF(AND('Mapa final'!$AB$128="Muy Alta",'Mapa final'!$AD$128="Menor"),CONCATENATE("R43C",'Mapa final'!$R$128),"")</f>
        <v/>
      </c>
      <c r="O48" s="106" t="str">
        <f>IF(AND('Mapa final'!$AB$129="Muy Alta",'Mapa final'!$AD$129="Menor"),CONCATENATE("R43C",'Mapa final'!$R$129),"")</f>
        <v/>
      </c>
      <c r="P48" s="105" t="str">
        <f>IF(AND('Mapa final'!$AB$127="Muy Alta",'Mapa final'!$AD$127="Moderado"),CONCATENATE("R43C",'Mapa final'!$R$127),"")</f>
        <v/>
      </c>
      <c r="Q48" s="42" t="str">
        <f>IF(AND('Mapa final'!$AB$128="Muy Alta",'Mapa final'!$AD$128="Moderado"),CONCATENATE("R43C",'Mapa final'!$R$128),"")</f>
        <v/>
      </c>
      <c r="R48" s="106" t="str">
        <f>IF(AND('Mapa final'!$AB$129="Muy Alta",'Mapa final'!$AD$129="Moderado"),CONCATENATE("R43C",'Mapa final'!$R$129),"")</f>
        <v/>
      </c>
      <c r="S48" s="105" t="str">
        <f>IF(AND('Mapa final'!$AB$127="Muy Alta",'Mapa final'!$AD$127="Mayor"),CONCATENATE("R43C",'Mapa final'!$R$127),"")</f>
        <v/>
      </c>
      <c r="T48" s="42" t="str">
        <f>IF(AND('Mapa final'!$AB$128="Muy Alta",'Mapa final'!$AD$128="Mayor"),CONCATENATE("R43C",'Mapa final'!$R$128),"")</f>
        <v/>
      </c>
      <c r="U48" s="106" t="str">
        <f>IF(AND('Mapa final'!$AB$129="Muy Alta",'Mapa final'!$AD$129="Mayor"),CONCATENATE("R43C",'Mapa final'!$R$129),"")</f>
        <v/>
      </c>
      <c r="V48" s="43" t="str">
        <f>IF(AND('Mapa final'!$AB$127="Muy Alta",'Mapa final'!$AD$127="Catastrófico"),CONCATENATE("R43C",'Mapa final'!$R$127),"")</f>
        <v/>
      </c>
      <c r="W48" s="44" t="str">
        <f>IF(AND('Mapa final'!$AB$128="Muy Alta",'Mapa final'!$AD$128="Catastrófico"),CONCATENATE("R43C",'Mapa final'!$R$128),"")</f>
        <v/>
      </c>
      <c r="X48" s="100" t="str">
        <f>IF(AND('Mapa final'!$AB$129="Muy Alta",'Mapa final'!$AD$129="Catastrófico"),CONCATENATE("R43C",'Mapa final'!$R$129),"")</f>
        <v/>
      </c>
      <c r="Y48" s="56"/>
      <c r="Z48" s="301"/>
      <c r="AA48" s="302"/>
      <c r="AB48" s="302"/>
      <c r="AC48" s="302"/>
      <c r="AD48" s="302"/>
      <c r="AE48" s="303"/>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row>
    <row r="49" spans="1:61" ht="15" customHeight="1" x14ac:dyDescent="0.35">
      <c r="A49" s="56"/>
      <c r="B49" s="307"/>
      <c r="C49" s="307"/>
      <c r="D49" s="308"/>
      <c r="E49" s="284"/>
      <c r="F49" s="297"/>
      <c r="G49" s="297"/>
      <c r="H49" s="297"/>
      <c r="I49" s="279"/>
      <c r="J49" s="105" t="str">
        <f>IF(AND('Mapa final'!$AB$130="Muy Alta",'Mapa final'!$AD$130="Leve"),CONCATENATE("R44C",'Mapa final'!$R$130),"")</f>
        <v/>
      </c>
      <c r="K49" s="42" t="str">
        <f>IF(AND('Mapa final'!$AB$131="Muy Alta",'Mapa final'!$AD$131="Leve"),CONCATENATE("R44C",'Mapa final'!$R$131),"")</f>
        <v/>
      </c>
      <c r="L49" s="106" t="str">
        <f>IF(AND('Mapa final'!$AB$132="Muy Alta",'Mapa final'!$AD$132="Leve"),CONCATENATE("R44C",'Mapa final'!$R$132),"")</f>
        <v/>
      </c>
      <c r="M49" s="105" t="str">
        <f>IF(AND('Mapa final'!$AB$130="Muy Alta",'Mapa final'!$AD$130="Menor"),CONCATENATE("R44C",'Mapa final'!$R$130),"")</f>
        <v/>
      </c>
      <c r="N49" s="42" t="str">
        <f>IF(AND('Mapa final'!$AB$131="Muy Alta",'Mapa final'!$AD$131="Menor"),CONCATENATE("R44C",'Mapa final'!$R$131),"")</f>
        <v/>
      </c>
      <c r="O49" s="106" t="str">
        <f>IF(AND('Mapa final'!$AB$132="Muy Alta",'Mapa final'!$AD$132="Menor"),CONCATENATE("R44C",'Mapa final'!$R$132),"")</f>
        <v/>
      </c>
      <c r="P49" s="105" t="str">
        <f>IF(AND('Mapa final'!$AB$130="Muy Alta",'Mapa final'!$AD$130="Moderado"),CONCATENATE("R44C",'Mapa final'!$R$130),"")</f>
        <v/>
      </c>
      <c r="Q49" s="42" t="str">
        <f>IF(AND('Mapa final'!$AB$131="Muy Alta",'Mapa final'!$AD$131="Moderado"),CONCATENATE("R44C",'Mapa final'!$R$131),"")</f>
        <v/>
      </c>
      <c r="R49" s="106" t="str">
        <f>IF(AND('Mapa final'!$AB$132="Muy Alta",'Mapa final'!$AD$132="Moderado"),CONCATENATE("R44C",'Mapa final'!$R$132),"")</f>
        <v/>
      </c>
      <c r="S49" s="105" t="str">
        <f>IF(AND('Mapa final'!$AB$130="Muy Alta",'Mapa final'!$AD$130="Mayor"),CONCATENATE("R44C",'Mapa final'!$R$130),"")</f>
        <v/>
      </c>
      <c r="T49" s="42" t="str">
        <f>IF(AND('Mapa final'!$AB$131="Muy Alta",'Mapa final'!$AD$131="Mayor"),CONCATENATE("R44C",'Mapa final'!$R$131),"")</f>
        <v/>
      </c>
      <c r="U49" s="106" t="str">
        <f>IF(AND('Mapa final'!$AB$132="Muy Alta",'Mapa final'!$AD$132="Mayor"),CONCATENATE("R44C",'Mapa final'!$R$132),"")</f>
        <v/>
      </c>
      <c r="V49" s="43" t="str">
        <f>IF(AND('Mapa final'!$AB$130="Muy Alta",'Mapa final'!$AD$130="Catastrófico"),CONCATENATE("R44C",'Mapa final'!$R$130),"")</f>
        <v/>
      </c>
      <c r="W49" s="44" t="str">
        <f>IF(AND('Mapa final'!$AB$131="Muy Alta",'Mapa final'!$AD$131="Catastrófico"),CONCATENATE("R44C",'Mapa final'!$R$131),"")</f>
        <v/>
      </c>
      <c r="X49" s="100" t="str">
        <f>IF(AND('Mapa final'!$AB$132="Muy Alta",'Mapa final'!$AD$132="Catastrófico"),CONCATENATE("R44C",'Mapa final'!$R$132),"")</f>
        <v/>
      </c>
      <c r="Y49" s="56"/>
      <c r="Z49" s="301"/>
      <c r="AA49" s="302"/>
      <c r="AB49" s="302"/>
      <c r="AC49" s="302"/>
      <c r="AD49" s="302"/>
      <c r="AE49" s="303"/>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row>
    <row r="50" spans="1:61" ht="15" customHeight="1" x14ac:dyDescent="0.35">
      <c r="A50" s="56"/>
      <c r="B50" s="307"/>
      <c r="C50" s="307"/>
      <c r="D50" s="308"/>
      <c r="E50" s="284"/>
      <c r="F50" s="297"/>
      <c r="G50" s="297"/>
      <c r="H50" s="297"/>
      <c r="I50" s="279"/>
      <c r="J50" s="105" t="str">
        <f>IF(AND('Mapa final'!$AB$133="Muy Alta",'Mapa final'!$AD$133="Leve"),CONCATENATE("R45C",'Mapa final'!$R$133),"")</f>
        <v/>
      </c>
      <c r="K50" s="42" t="str">
        <f>IF(AND('Mapa final'!$AB$134="Muy Alta",'Mapa final'!$AD$134="Leve"),CONCATENATE("R45C",'Mapa final'!$R$134),"")</f>
        <v/>
      </c>
      <c r="L50" s="106" t="str">
        <f>IF(AND('Mapa final'!$AB$135="Muy Alta",'Mapa final'!$AD$135="Leve"),CONCATENATE("R45C",'Mapa final'!$R$135),"")</f>
        <v/>
      </c>
      <c r="M50" s="105" t="str">
        <f>IF(AND('Mapa final'!$AB$133="Muy Alta",'Mapa final'!$AD$133="Menor"),CONCATENATE("R45C",'Mapa final'!$R$133),"")</f>
        <v/>
      </c>
      <c r="N50" s="42" t="str">
        <f>IF(AND('Mapa final'!$AB$134="Muy Alta",'Mapa final'!$AD$134="Menor"),CONCATENATE("R45C",'Mapa final'!$R$134),"")</f>
        <v/>
      </c>
      <c r="O50" s="106" t="str">
        <f>IF(AND('Mapa final'!$AB$135="Muy Alta",'Mapa final'!$AD$135="Menor"),CONCATENATE("R45C",'Mapa final'!$R$135),"")</f>
        <v/>
      </c>
      <c r="P50" s="105" t="str">
        <f>IF(AND('Mapa final'!$AB$133="Muy Alta",'Mapa final'!$AD$133="Moderado"),CONCATENATE("R45C",'Mapa final'!$R$133),"")</f>
        <v/>
      </c>
      <c r="Q50" s="42" t="str">
        <f>IF(AND('Mapa final'!$AB$134="Muy Alta",'Mapa final'!$AD$134="Moderado"),CONCATENATE("R45C",'Mapa final'!$R$134),"")</f>
        <v/>
      </c>
      <c r="R50" s="106" t="str">
        <f>IF(AND('Mapa final'!$AB$135="Muy Alta",'Mapa final'!$AD$135="Moderado"),CONCATENATE("R45C",'Mapa final'!$R$135),"")</f>
        <v/>
      </c>
      <c r="S50" s="105" t="str">
        <f>IF(AND('Mapa final'!$AB$133="Muy Alta",'Mapa final'!$AD$133="Mayor"),CONCATENATE("R45C",'Mapa final'!$R$133),"")</f>
        <v/>
      </c>
      <c r="T50" s="42" t="str">
        <f>IF(AND('Mapa final'!$AB$134="Muy Alta",'Mapa final'!$AD$134="Mayor"),CONCATENATE("R45C",'Mapa final'!$R$134),"")</f>
        <v/>
      </c>
      <c r="U50" s="106" t="str">
        <f>IF(AND('Mapa final'!$AB$135="Muy Alta",'Mapa final'!$AD$135="Mayor"),CONCATENATE("R45C",'Mapa final'!$R$135),"")</f>
        <v/>
      </c>
      <c r="V50" s="43" t="str">
        <f>IF(AND('Mapa final'!$AB$133="Muy Alta",'Mapa final'!$AD$133="Catastrófico"),CONCATENATE("R45C",'Mapa final'!$R$133),"")</f>
        <v/>
      </c>
      <c r="W50" s="44" t="str">
        <f>IF(AND('Mapa final'!$AB$134="Muy Alta",'Mapa final'!$AD$134="Catastrófico"),CONCATENATE("R45C",'Mapa final'!$R$134),"")</f>
        <v/>
      </c>
      <c r="X50" s="100" t="str">
        <f>IF(AND('Mapa final'!$AB$135="Muy Alta",'Mapa final'!$AD$135="Catastrófico"),CONCATENATE("R45C",'Mapa final'!$R$135),"")</f>
        <v/>
      </c>
      <c r="Y50" s="56"/>
      <c r="Z50" s="301"/>
      <c r="AA50" s="302"/>
      <c r="AB50" s="302"/>
      <c r="AC50" s="302"/>
      <c r="AD50" s="302"/>
      <c r="AE50" s="303"/>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1" ht="15" customHeight="1" x14ac:dyDescent="0.35">
      <c r="A51" s="56"/>
      <c r="B51" s="307"/>
      <c r="C51" s="307"/>
      <c r="D51" s="308"/>
      <c r="E51" s="284"/>
      <c r="F51" s="297"/>
      <c r="G51" s="297"/>
      <c r="H51" s="297"/>
      <c r="I51" s="279"/>
      <c r="J51" s="105" t="str">
        <f>IF(AND('Mapa final'!$AB$136="Muy Alta",'Mapa final'!$AD$136="Leve"),CONCATENATE("R46C",'Mapa final'!$R$136),"")</f>
        <v/>
      </c>
      <c r="K51" s="42" t="str">
        <f>IF(AND('Mapa final'!$AB$137="Muy Alta",'Mapa final'!$AD$137="Leve"),CONCATENATE("R46C",'Mapa final'!$R$137),"")</f>
        <v/>
      </c>
      <c r="L51" s="106" t="str">
        <f>IF(AND('Mapa final'!$AB$138="Muy Alta",'Mapa final'!$AD$138="Leve"),CONCATENATE("R46C",'Mapa final'!$R$138),"")</f>
        <v/>
      </c>
      <c r="M51" s="105" t="str">
        <f>IF(AND('Mapa final'!$AB$136="Muy Alta",'Mapa final'!$AD$136="Menor"),CONCATENATE("R46C",'Mapa final'!$R$136),"")</f>
        <v/>
      </c>
      <c r="N51" s="42" t="str">
        <f>IF(AND('Mapa final'!$AB$137="Muy Alta",'Mapa final'!$AD$137="Menor"),CONCATENATE("R46C",'Mapa final'!$R$137),"")</f>
        <v/>
      </c>
      <c r="O51" s="106" t="str">
        <f>IF(AND('Mapa final'!$AB$138="Muy Alta",'Mapa final'!$AD$138="Menor"),CONCATENATE("R46C",'Mapa final'!$R$138),"")</f>
        <v/>
      </c>
      <c r="P51" s="105" t="str">
        <f>IF(AND('Mapa final'!$AB$136="Muy Alta",'Mapa final'!$AD$136="Moderado"),CONCATENATE("R46C",'Mapa final'!$R$136),"")</f>
        <v/>
      </c>
      <c r="Q51" s="42" t="str">
        <f>IF(AND('Mapa final'!$AB$137="Muy Alta",'Mapa final'!$AD$137="Moderado"),CONCATENATE("R46C",'Mapa final'!$R$137),"")</f>
        <v/>
      </c>
      <c r="R51" s="106" t="str">
        <f>IF(AND('Mapa final'!$AB$138="Muy Alta",'Mapa final'!$AD$138="Moderado"),CONCATENATE("R46C",'Mapa final'!$R$138),"")</f>
        <v/>
      </c>
      <c r="S51" s="105" t="str">
        <f>IF(AND('Mapa final'!$AB$136="Muy Alta",'Mapa final'!$AD$136="Mayor"),CONCATENATE("R46C",'Mapa final'!$R$136),"")</f>
        <v/>
      </c>
      <c r="T51" s="42" t="str">
        <f>IF(AND('Mapa final'!$AB$137="Muy Alta",'Mapa final'!$AD$137="Mayor"),CONCATENATE("R46C",'Mapa final'!$R$137),"")</f>
        <v/>
      </c>
      <c r="U51" s="106" t="str">
        <f>IF(AND('Mapa final'!$AB$138="Muy Alta",'Mapa final'!$AD$138="Mayor"),CONCATENATE("R46C",'Mapa final'!$R$138),"")</f>
        <v/>
      </c>
      <c r="V51" s="43" t="str">
        <f>IF(AND('Mapa final'!$AB$136="Muy Alta",'Mapa final'!$AD$136="Catastrófico"),CONCATENATE("R46C",'Mapa final'!$R$136),"")</f>
        <v/>
      </c>
      <c r="W51" s="44" t="str">
        <f>IF(AND('Mapa final'!$AB$137="Muy Alta",'Mapa final'!$AD$137="Catastrófico"),CONCATENATE("R46C",'Mapa final'!$R$137),"")</f>
        <v/>
      </c>
      <c r="X51" s="100" t="str">
        <f>IF(AND('Mapa final'!$AB$138="Muy Alta",'Mapa final'!$AD$138="Catastrófico"),CONCATENATE("R46C",'Mapa final'!$R$138),"")</f>
        <v/>
      </c>
      <c r="Y51" s="56"/>
      <c r="Z51" s="301"/>
      <c r="AA51" s="302"/>
      <c r="AB51" s="302"/>
      <c r="AC51" s="302"/>
      <c r="AD51" s="302"/>
      <c r="AE51" s="303"/>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1" ht="15" customHeight="1" x14ac:dyDescent="0.35">
      <c r="A52" s="56"/>
      <c r="B52" s="307"/>
      <c r="C52" s="307"/>
      <c r="D52" s="308"/>
      <c r="E52" s="284"/>
      <c r="F52" s="297"/>
      <c r="G52" s="297"/>
      <c r="H52" s="297"/>
      <c r="I52" s="279"/>
      <c r="J52" s="105" t="str">
        <f>IF(AND('Mapa final'!$AB$139="Muy Alta",'Mapa final'!$AD$139="Leve"),CONCATENATE("R47C",'Mapa final'!$R$139),"")</f>
        <v/>
      </c>
      <c r="K52" s="42" t="str">
        <f>IF(AND('Mapa final'!$AB$140="Muy Alta",'Mapa final'!$AD$140="Leve"),CONCATENATE("R47C",'Mapa final'!$R$140),"")</f>
        <v/>
      </c>
      <c r="L52" s="106" t="str">
        <f>IF(AND('Mapa final'!$AB$141="Muy Alta",'Mapa final'!$AD$141="Leve"),CONCATENATE("R47C",'Mapa final'!$R$141),"")</f>
        <v/>
      </c>
      <c r="M52" s="105" t="str">
        <f>IF(AND('Mapa final'!$AB$139="Muy Alta",'Mapa final'!$AD$139="Menor"),CONCATENATE("R47C",'Mapa final'!$R$139),"")</f>
        <v/>
      </c>
      <c r="N52" s="42" t="str">
        <f>IF(AND('Mapa final'!$AB$140="Muy Alta",'Mapa final'!$AD$140="Menor"),CONCATENATE("R47C",'Mapa final'!$R$140),"")</f>
        <v/>
      </c>
      <c r="O52" s="106" t="str">
        <f>IF(AND('Mapa final'!$AB$141="Muy Alta",'Mapa final'!$AD$141="Menor"),CONCATENATE("R47C",'Mapa final'!$R$141),"")</f>
        <v/>
      </c>
      <c r="P52" s="105" t="str">
        <f>IF(AND('Mapa final'!$AB$139="Muy Alta",'Mapa final'!$AD$139="Moderado"),CONCATENATE("R47C",'Mapa final'!$R$139),"")</f>
        <v/>
      </c>
      <c r="Q52" s="42" t="str">
        <f>IF(AND('Mapa final'!$AB$140="Muy Alta",'Mapa final'!$AD$140="Moderado"),CONCATENATE("R47C",'Mapa final'!$R$140),"")</f>
        <v/>
      </c>
      <c r="R52" s="106" t="str">
        <f>IF(AND('Mapa final'!$AB$141="Muy Alta",'Mapa final'!$AD$141="Moderado"),CONCATENATE("R47C",'Mapa final'!$R$141),"")</f>
        <v/>
      </c>
      <c r="S52" s="105" t="str">
        <f>IF(AND('Mapa final'!$AB$139="Muy Alta",'Mapa final'!$AD$139="Mayor"),CONCATENATE("R47C",'Mapa final'!$R$139),"")</f>
        <v/>
      </c>
      <c r="T52" s="42" t="str">
        <f>IF(AND('Mapa final'!$AB$140="Muy Alta",'Mapa final'!$AD$140="Mayor"),CONCATENATE("R47C",'Mapa final'!$R$140),"")</f>
        <v/>
      </c>
      <c r="U52" s="106" t="str">
        <f>IF(AND('Mapa final'!$AB$141="Muy Alta",'Mapa final'!$AD$141="Mayor"),CONCATENATE("R47C",'Mapa final'!$R$141),"")</f>
        <v/>
      </c>
      <c r="V52" s="43" t="str">
        <f>IF(AND('Mapa final'!$AB$139="Muy Alta",'Mapa final'!$AD$139="Catastrófico"),CONCATENATE("R47C",'Mapa final'!$R$139),"")</f>
        <v/>
      </c>
      <c r="W52" s="44" t="str">
        <f>IF(AND('Mapa final'!$AB$140="Muy Alta",'Mapa final'!$AD$140="Catastrófico"),CONCATENATE("R47C",'Mapa final'!$R$140),"")</f>
        <v/>
      </c>
      <c r="X52" s="100" t="str">
        <f>IF(AND('Mapa final'!$AB$141="Muy Alta",'Mapa final'!$AD$141="Catastrófico"),CONCATENATE("R47C",'Mapa final'!$R$141),"")</f>
        <v/>
      </c>
      <c r="Y52" s="56"/>
      <c r="Z52" s="301"/>
      <c r="AA52" s="302"/>
      <c r="AB52" s="302"/>
      <c r="AC52" s="302"/>
      <c r="AD52" s="302"/>
      <c r="AE52" s="303"/>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1" ht="15" customHeight="1" x14ac:dyDescent="0.35">
      <c r="A53" s="56"/>
      <c r="B53" s="307"/>
      <c r="C53" s="307"/>
      <c r="D53" s="308"/>
      <c r="E53" s="284"/>
      <c r="F53" s="297"/>
      <c r="G53" s="297"/>
      <c r="H53" s="297"/>
      <c r="I53" s="279"/>
      <c r="J53" s="105" t="str">
        <f>IF(AND('Mapa final'!$AB$142="Muy Alta",'Mapa final'!$AD$142="Leve"),CONCATENATE("R48C",'Mapa final'!$R$142),"")</f>
        <v/>
      </c>
      <c r="K53" s="42" t="str">
        <f>IF(AND('Mapa final'!$AB$143="Muy Alta",'Mapa final'!$AD$143="Leve"),CONCATENATE("R48C",'Mapa final'!$R$143),"")</f>
        <v/>
      </c>
      <c r="L53" s="106" t="str">
        <f>IF(AND('Mapa final'!$AB$144="Muy Alta",'Mapa final'!$AD$144="Leve"),CONCATENATE("R48C",'Mapa final'!$R$144),"")</f>
        <v/>
      </c>
      <c r="M53" s="105" t="str">
        <f>IF(AND('Mapa final'!$AB$142="Muy Alta",'Mapa final'!$AD$142="Menor"),CONCATENATE("R48C",'Mapa final'!$R$142),"")</f>
        <v/>
      </c>
      <c r="N53" s="42" t="str">
        <f>IF(AND('Mapa final'!$AB$143="Muy Alta",'Mapa final'!$AD$143="Menor"),CONCATENATE("R48C",'Mapa final'!$R$143),"")</f>
        <v/>
      </c>
      <c r="O53" s="106" t="str">
        <f>IF(AND('Mapa final'!$AB$144="Muy Alta",'Mapa final'!$AD$144="Menor"),CONCATENATE("R48C",'Mapa final'!$R$144),"")</f>
        <v/>
      </c>
      <c r="P53" s="105" t="str">
        <f>IF(AND('Mapa final'!$AB$142="Muy Alta",'Mapa final'!$AD$142="Moderado"),CONCATENATE("R48C",'Mapa final'!$R$142),"")</f>
        <v/>
      </c>
      <c r="Q53" s="42" t="str">
        <f>IF(AND('Mapa final'!$AB$143="Muy Alta",'Mapa final'!$AD$143="Moderado"),CONCATENATE("R48C",'Mapa final'!$R$143),"")</f>
        <v/>
      </c>
      <c r="R53" s="106" t="str">
        <f>IF(AND('Mapa final'!$AB$144="Muy Alta",'Mapa final'!$AD$144="Moderado"),CONCATENATE("R48C",'Mapa final'!$R$144),"")</f>
        <v/>
      </c>
      <c r="S53" s="105" t="str">
        <f>IF(AND('Mapa final'!$AB$142="Muy Alta",'Mapa final'!$AD$142="Mayor"),CONCATENATE("R48C",'Mapa final'!$R$142),"")</f>
        <v/>
      </c>
      <c r="T53" s="42" t="str">
        <f>IF(AND('Mapa final'!$AB$143="Muy Alta",'Mapa final'!$AD$143="Mayor"),CONCATENATE("R48C",'Mapa final'!$R$143),"")</f>
        <v/>
      </c>
      <c r="U53" s="106" t="str">
        <f>IF(AND('Mapa final'!$AB$144="Muy Alta",'Mapa final'!$AD$144="Mayor"),CONCATENATE("R48C",'Mapa final'!$R$144),"")</f>
        <v/>
      </c>
      <c r="V53" s="43" t="str">
        <f>IF(AND('Mapa final'!$AB$142="Muy Alta",'Mapa final'!$AD$142="Catastrófico"),CONCATENATE("R48C",'Mapa final'!$R$142),"")</f>
        <v/>
      </c>
      <c r="W53" s="44" t="str">
        <f>IF(AND('Mapa final'!$AB$143="Muy Alta",'Mapa final'!$AD$143="Catastrófico"),CONCATENATE("R48C",'Mapa final'!$R$143),"")</f>
        <v/>
      </c>
      <c r="X53" s="100" t="str">
        <f>IF(AND('Mapa final'!$AB$144="Muy Alta",'Mapa final'!$AD$144="Catastrófico"),CONCATENATE("R48C",'Mapa final'!$R$144),"")</f>
        <v/>
      </c>
      <c r="Y53" s="56"/>
      <c r="Z53" s="301"/>
      <c r="AA53" s="302"/>
      <c r="AB53" s="302"/>
      <c r="AC53" s="302"/>
      <c r="AD53" s="302"/>
      <c r="AE53" s="303"/>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1" ht="15" customHeight="1" x14ac:dyDescent="0.35">
      <c r="A54" s="56"/>
      <c r="B54" s="307"/>
      <c r="C54" s="307"/>
      <c r="D54" s="308"/>
      <c r="E54" s="284"/>
      <c r="F54" s="297"/>
      <c r="G54" s="297"/>
      <c r="H54" s="297"/>
      <c r="I54" s="279"/>
      <c r="J54" s="105" t="str">
        <f>IF(AND('Mapa final'!$AB$145="Muy Alta",'Mapa final'!$AD$145="Leve"),CONCATENATE("R49C",'Mapa final'!$R$145),"")</f>
        <v/>
      </c>
      <c r="K54" s="42" t="str">
        <f>IF(AND('Mapa final'!$AB$146="Muy Alta",'Mapa final'!$AD$146="Leve"),CONCATENATE("R49C",'Mapa final'!$R$146),"")</f>
        <v/>
      </c>
      <c r="L54" s="106" t="str">
        <f>IF(AND('Mapa final'!$AB$147="Muy Alta",'Mapa final'!$AD$147="Leve"),CONCATENATE("R49C",'Mapa final'!$R$147),"")</f>
        <v/>
      </c>
      <c r="M54" s="105" t="str">
        <f>IF(AND('Mapa final'!$AB$145="Muy Alta",'Mapa final'!$AD$145="Menor"),CONCATENATE("R49C",'Mapa final'!$R$145),"")</f>
        <v/>
      </c>
      <c r="N54" s="42" t="str">
        <f>IF(AND('Mapa final'!$AB$146="Muy Alta",'Mapa final'!$AD$146="Menor"),CONCATENATE("R49C",'Mapa final'!$R$146),"")</f>
        <v/>
      </c>
      <c r="O54" s="106" t="str">
        <f>IF(AND('Mapa final'!$AB$147="Muy Alta",'Mapa final'!$AD$147="Menor"),CONCATENATE("R49C",'Mapa final'!$R$147),"")</f>
        <v/>
      </c>
      <c r="P54" s="105" t="str">
        <f>IF(AND('Mapa final'!$AB$145="Muy Alta",'Mapa final'!$AD$145="Moderado"),CONCATENATE("R49C",'Mapa final'!$R$145),"")</f>
        <v/>
      </c>
      <c r="Q54" s="42" t="str">
        <f>IF(AND('Mapa final'!$AB$146="Muy Alta",'Mapa final'!$AD$146="Moderado"),CONCATENATE("R49C",'Mapa final'!$R$146),"")</f>
        <v/>
      </c>
      <c r="R54" s="106" t="str">
        <f>IF(AND('Mapa final'!$AB$147="Muy Alta",'Mapa final'!$AD$147="Moderado"),CONCATENATE("R49C",'Mapa final'!$R$147),"")</f>
        <v/>
      </c>
      <c r="S54" s="105" t="str">
        <f>IF(AND('Mapa final'!$AB$145="Muy Alta",'Mapa final'!$AD$145="Mayor"),CONCATENATE("R49C",'Mapa final'!$R$145),"")</f>
        <v/>
      </c>
      <c r="T54" s="42" t="str">
        <f>IF(AND('Mapa final'!$AB$146="Muy Alta",'Mapa final'!$AD$146="Mayor"),CONCATENATE("R49C",'Mapa final'!$R$146),"")</f>
        <v/>
      </c>
      <c r="U54" s="106" t="str">
        <f>IF(AND('Mapa final'!$AB$147="Muy Alta",'Mapa final'!$AD$147="Mayor"),CONCATENATE("R49C",'Mapa final'!$R$147),"")</f>
        <v/>
      </c>
      <c r="V54" s="43" t="str">
        <f>IF(AND('Mapa final'!$AB$145="Muy Alta",'Mapa final'!$AD$145="Catastrófico"),CONCATENATE("R49C",'Mapa final'!$R$145),"")</f>
        <v/>
      </c>
      <c r="W54" s="44" t="str">
        <f>IF(AND('Mapa final'!$AB$146="Muy Alta",'Mapa final'!$AD$146="Catastrófico"),CONCATENATE("R49C",'Mapa final'!$R$146),"")</f>
        <v/>
      </c>
      <c r="X54" s="100" t="str">
        <f>IF(AND('Mapa final'!$AB$147="Muy Alta",'Mapa final'!$AD$147="Catastrófico"),CONCATENATE("R49C",'Mapa final'!$R$147),"")</f>
        <v/>
      </c>
      <c r="Y54" s="56"/>
      <c r="Z54" s="301"/>
      <c r="AA54" s="302"/>
      <c r="AB54" s="302"/>
      <c r="AC54" s="302"/>
      <c r="AD54" s="302"/>
      <c r="AE54" s="303"/>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1" ht="15" customHeight="1" thickBot="1" x14ac:dyDescent="0.4">
      <c r="A55" s="56"/>
      <c r="B55" s="307"/>
      <c r="C55" s="307"/>
      <c r="D55" s="308"/>
      <c r="E55" s="284"/>
      <c r="F55" s="297"/>
      <c r="G55" s="297"/>
      <c r="H55" s="297"/>
      <c r="I55" s="279"/>
      <c r="J55" s="105" t="str">
        <f>IF(AND('Mapa final'!$AB$148="Muy Alta",'Mapa final'!$AD$148="Leve"),CONCATENATE("R50C",'Mapa final'!$R$148),"")</f>
        <v/>
      </c>
      <c r="K55" s="42" t="str">
        <f>IF(AND('Mapa final'!$AB$149="Muy Alta",'Mapa final'!$AD$149="Leve"),CONCATENATE("R50C",'Mapa final'!$R$149),"")</f>
        <v/>
      </c>
      <c r="L55" s="106" t="str">
        <f>IF(AND('Mapa final'!$AB$150="Muy Alta",'Mapa final'!$AD$150="Leve"),CONCATENATE("R50C",'Mapa final'!$R$150),"")</f>
        <v/>
      </c>
      <c r="M55" s="105" t="str">
        <f>IF(AND('Mapa final'!$AB$148="Muy Alta",'Mapa final'!$AD$148="Menor"),CONCATENATE("R50C",'Mapa final'!$R$148),"")</f>
        <v/>
      </c>
      <c r="N55" s="42" t="str">
        <f>IF(AND('Mapa final'!$AB$149="Muy Alta",'Mapa final'!$AD$149="Menor"),CONCATENATE("R50C",'Mapa final'!$R$149),"")</f>
        <v/>
      </c>
      <c r="O55" s="106" t="str">
        <f>IF(AND('Mapa final'!$AB$150="Muy Alta",'Mapa final'!$AD$150="Menor"),CONCATENATE("R50C",'Mapa final'!$R$150),"")</f>
        <v/>
      </c>
      <c r="P55" s="105" t="str">
        <f>IF(AND('Mapa final'!$AB$148="Muy Alta",'Mapa final'!$AD$148="Moderado"),CONCATENATE("R50C",'Mapa final'!$R$148),"")</f>
        <v/>
      </c>
      <c r="Q55" s="42" t="str">
        <f>IF(AND('Mapa final'!$AB$149="Muy Alta",'Mapa final'!$AD$149="Moderado"),CONCATENATE("R50C",'Mapa final'!$R$149),"")</f>
        <v/>
      </c>
      <c r="R55" s="106" t="str">
        <f>IF(AND('Mapa final'!$AB$150="Muy Alta",'Mapa final'!$AD$150="Moderado"),CONCATENATE("R50C",'Mapa final'!$R$150),"")</f>
        <v/>
      </c>
      <c r="S55" s="107" t="str">
        <f>IF(AND('Mapa final'!$AB$148="Muy Alta",'Mapa final'!$AD$148="Mayor"),CONCATENATE("R50C",'Mapa final'!$R$148),"")</f>
        <v/>
      </c>
      <c r="T55" s="108" t="str">
        <f>IF(AND('Mapa final'!$AB$149="Muy Alta",'Mapa final'!$AD$149="Mayor"),CONCATENATE("R50C",'Mapa final'!$R$149),"")</f>
        <v/>
      </c>
      <c r="U55" s="109" t="str">
        <f>IF(AND('Mapa final'!$AB$150="Muy Alta",'Mapa final'!$AD$150="Mayor"),CONCATENATE("R50C",'Mapa final'!$R$150),"")</f>
        <v/>
      </c>
      <c r="V55" s="45" t="str">
        <f>IF(AND('Mapa final'!$AB$148="Muy Alta",'Mapa final'!$AD$148="Catastrófico"),CONCATENATE("R50C",'Mapa final'!$R$148),"")</f>
        <v/>
      </c>
      <c r="W55" s="46" t="str">
        <f>IF(AND('Mapa final'!$AB$149="Muy Alta",'Mapa final'!$AD$149="Catastrófico"),CONCATENATE("R50C",'Mapa final'!$R$149),"")</f>
        <v/>
      </c>
      <c r="X55" s="101" t="str">
        <f>IF(AND('Mapa final'!$AB$150="Muy Alta",'Mapa final'!$AD$150="Catastrófico"),CONCATENATE("R50C",'Mapa final'!$R$150),"")</f>
        <v/>
      </c>
      <c r="Y55" s="56"/>
      <c r="Z55" s="301"/>
      <c r="AA55" s="302"/>
      <c r="AB55" s="302"/>
      <c r="AC55" s="302"/>
      <c r="AD55" s="302"/>
      <c r="AE55" s="303"/>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1:61" ht="15" customHeight="1" x14ac:dyDescent="0.35">
      <c r="A56" s="56"/>
      <c r="B56" s="307"/>
      <c r="C56" s="307"/>
      <c r="D56" s="308"/>
      <c r="E56" s="295" t="s">
        <v>106</v>
      </c>
      <c r="F56" s="296"/>
      <c r="G56" s="296"/>
      <c r="H56" s="296"/>
      <c r="I56" s="296"/>
      <c r="J56" s="47" t="str">
        <f>IF(AND('Mapa final'!$AB$7="Alta",'Mapa final'!$AD$7="Leve"),CONCATENATE("R1C",'Mapa final'!$R$7),"")</f>
        <v/>
      </c>
      <c r="K56" s="48" t="str">
        <f>IF(AND('Mapa final'!$AB$8="Alta",'Mapa final'!$AD$8="Leve"),CONCATENATE("R1C",'Mapa final'!$R$8),"")</f>
        <v/>
      </c>
      <c r="L56" s="110" t="str">
        <f>IF(AND('Mapa final'!$AB$9="Alta",'Mapa final'!$AD$9="Leve"),CONCATENATE("R1C",'Mapa final'!$R$9),"")</f>
        <v/>
      </c>
      <c r="M56" s="47" t="str">
        <f>IF(AND('Mapa final'!$AB$7="Alta",'Mapa final'!$AD$7="Menor"),CONCATENATE("R1C",'Mapa final'!$R$7),"")</f>
        <v/>
      </c>
      <c r="N56" s="48" t="str">
        <f>IF(AND('Mapa final'!$AB$8="Alta",'Mapa final'!$AD$8="Menor"),CONCATENATE("R1C",'Mapa final'!$R$8),"")</f>
        <v/>
      </c>
      <c r="O56" s="110" t="str">
        <f>IF(AND('Mapa final'!$AB$9="Alta",'Mapa final'!$AD$9="Menor"),CONCATENATE("R1C",'Mapa final'!$R$9),"")</f>
        <v/>
      </c>
      <c r="P56" s="102" t="str">
        <f>IF(AND('Mapa final'!$AB$7="Alta",'Mapa final'!$AD$7="Moderado"),CONCATENATE("R1C",'Mapa final'!$R$7),"")</f>
        <v/>
      </c>
      <c r="Q56" s="103" t="str">
        <f>IF(AND('Mapa final'!$AB$8="Alta",'Mapa final'!$AD$8="Moderado"),CONCATENATE("R1C",'Mapa final'!$R$8),"")</f>
        <v/>
      </c>
      <c r="R56" s="104" t="str">
        <f>IF(AND('Mapa final'!$AB$9="Alta",'Mapa final'!$AD$9="Moderado"),CONCATENATE("R1C",'Mapa final'!$R$9),"")</f>
        <v/>
      </c>
      <c r="S56" s="102" t="str">
        <f>IF(AND('Mapa final'!$AB$7="Alta",'Mapa final'!$AD$7="Mayor"),CONCATENATE("R1C",'Mapa final'!$R$7),"")</f>
        <v/>
      </c>
      <c r="T56" s="103" t="str">
        <f>IF(AND('Mapa final'!$AB$8="Alta",'Mapa final'!$AD$8="Mayor"),CONCATENATE("R1C",'Mapa final'!$R$8),"")</f>
        <v/>
      </c>
      <c r="U56" s="104" t="str">
        <f>IF(AND('Mapa final'!$AB$9="Alta",'Mapa final'!$AD$9="Mayor"),CONCATENATE("R1C",'Mapa final'!$R$9),"")</f>
        <v/>
      </c>
      <c r="V56" s="40" t="str">
        <f>IF(AND('Mapa final'!$AB$7="Alta",'Mapa final'!$AD$7="Catastrófico"),CONCATENATE("R1C",'Mapa final'!$R$7),"")</f>
        <v/>
      </c>
      <c r="W56" s="41" t="str">
        <f>IF(AND('Mapa final'!$AB$8="Alta",'Mapa final'!$AD$8="Catastrófico"),CONCATENATE("R1C",'Mapa final'!$R$8),"")</f>
        <v/>
      </c>
      <c r="X56" s="99" t="str">
        <f>IF(AND('Mapa final'!$AB$9="Alta",'Mapa final'!$AD$9="Catastrófico"),CONCATENATE("R1C",'Mapa final'!$R$9),"")</f>
        <v/>
      </c>
      <c r="Y56" s="56"/>
      <c r="Z56" s="289" t="s">
        <v>74</v>
      </c>
      <c r="AA56" s="290"/>
      <c r="AB56" s="290"/>
      <c r="AC56" s="290"/>
      <c r="AD56" s="290"/>
      <c r="AE56" s="291"/>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row>
    <row r="57" spans="1:61" ht="15" customHeight="1" x14ac:dyDescent="0.35">
      <c r="A57" s="56"/>
      <c r="B57" s="307"/>
      <c r="C57" s="307"/>
      <c r="D57" s="308"/>
      <c r="E57" s="283"/>
      <c r="F57" s="279"/>
      <c r="G57" s="279"/>
      <c r="H57" s="279"/>
      <c r="I57" s="279"/>
      <c r="J57" s="49" t="str">
        <f>IF(AND('Mapa final'!$AB$10="Alta",'Mapa final'!$AD$10="Leve"),CONCATENATE("R2C",'Mapa final'!$R$10),"")</f>
        <v/>
      </c>
      <c r="K57" s="50" t="str">
        <f>IF(AND('Mapa final'!$AB$11="Alta",'Mapa final'!$AD$11="Leve"),CONCATENATE("R2C",'Mapa final'!$R$11),"")</f>
        <v/>
      </c>
      <c r="L57" s="111" t="str">
        <f>IF(AND('Mapa final'!$AB$12="Alta",'Mapa final'!$AD$12="Leve"),CONCATENATE("R2C",'Mapa final'!$R$12),"")</f>
        <v/>
      </c>
      <c r="M57" s="49" t="str">
        <f>IF(AND('Mapa final'!$AB$10="Alta",'Mapa final'!$AD$10="Menor"),CONCATENATE("R2C",'Mapa final'!$R$10),"")</f>
        <v/>
      </c>
      <c r="N57" s="50" t="str">
        <f>IF(AND('Mapa final'!$AB$11="Alta",'Mapa final'!$AD$11="Menor"),CONCATENATE("R2C",'Mapa final'!$R$11),"")</f>
        <v/>
      </c>
      <c r="O57" s="111" t="str">
        <f>IF(AND('Mapa final'!$AB$12="Alta",'Mapa final'!$AD$12="Menor"),CONCATENATE("R2C",'Mapa final'!$R$12),"")</f>
        <v/>
      </c>
      <c r="P57" s="105" t="str">
        <f>IF(AND('Mapa final'!$AB$10="Alta",'Mapa final'!$AD$10="Moderado"),CONCATENATE("R2C",'Mapa final'!$R$10),"")</f>
        <v/>
      </c>
      <c r="Q57" s="42" t="str">
        <f>IF(AND('Mapa final'!$AB$11="Alta",'Mapa final'!$AD$11="Moderado"),CONCATENATE("R2C",'Mapa final'!$R$11),"")</f>
        <v/>
      </c>
      <c r="R57" s="106" t="str">
        <f>IF(AND('Mapa final'!$AB$12="Alta",'Mapa final'!$AD$12="Moderado"),CONCATENATE("R2C",'Mapa final'!$R$12),"")</f>
        <v/>
      </c>
      <c r="S57" s="105" t="str">
        <f>IF(AND('Mapa final'!$AB$10="Alta",'Mapa final'!$AD$10="Mayor"),CONCATENATE("R2C",'Mapa final'!$R$10),"")</f>
        <v/>
      </c>
      <c r="T57" s="42" t="str">
        <f>IF(AND('Mapa final'!$AB$11="Alta",'Mapa final'!$AD$11="Mayor"),CONCATENATE("R2C",'Mapa final'!$R$11),"")</f>
        <v/>
      </c>
      <c r="U57" s="106" t="str">
        <f>IF(AND('Mapa final'!$AB$12="Alta",'Mapa final'!$AD$12="Mayor"),CONCATENATE("R2C",'Mapa final'!$R$12),"")</f>
        <v/>
      </c>
      <c r="V57" s="43" t="str">
        <f>IF(AND('Mapa final'!$AB$10="Alta",'Mapa final'!$AD$10="Catastrófico"),CONCATENATE("R2C",'Mapa final'!$R$10),"")</f>
        <v/>
      </c>
      <c r="W57" s="44" t="str">
        <f>IF(AND('Mapa final'!$AB$11="Alta",'Mapa final'!$AD$11="Catastrófico"),CONCATENATE("R2C",'Mapa final'!$R$11),"")</f>
        <v/>
      </c>
      <c r="X57" s="100" t="str">
        <f>IF(AND('Mapa final'!$AB$12="Alta",'Mapa final'!$AD$12="Catastrófico"),CONCATENATE("R2C",'Mapa final'!$R$12),"")</f>
        <v/>
      </c>
      <c r="Y57" s="56"/>
      <c r="Z57" s="292"/>
      <c r="AA57" s="293"/>
      <c r="AB57" s="293"/>
      <c r="AC57" s="293"/>
      <c r="AD57" s="293"/>
      <c r="AE57" s="294"/>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row>
    <row r="58" spans="1:61" ht="15" customHeight="1" x14ac:dyDescent="0.35">
      <c r="A58" s="56"/>
      <c r="B58" s="307"/>
      <c r="C58" s="307"/>
      <c r="D58" s="308"/>
      <c r="E58" s="284"/>
      <c r="F58" s="297"/>
      <c r="G58" s="297"/>
      <c r="H58" s="297"/>
      <c r="I58" s="279"/>
      <c r="J58" s="49" t="str">
        <f>IF(AND('Mapa final'!$AB$13="Alta",'Mapa final'!$AD$13="Leve"),CONCATENATE("R3C",'Mapa final'!$R$13),"")</f>
        <v/>
      </c>
      <c r="K58" s="50" t="str">
        <f>IF(AND('Mapa final'!$AB$14="Alta",'Mapa final'!$AD$14="Leve"),CONCATENATE("R3C",'Mapa final'!$R$14),"")</f>
        <v/>
      </c>
      <c r="L58" s="111" t="str">
        <f>IF(AND('Mapa final'!$AB$15="Alta",'Mapa final'!$AD$15="Leve"),CONCATENATE("R3C",'Mapa final'!$R$15),"")</f>
        <v/>
      </c>
      <c r="M58" s="49" t="str">
        <f>IF(AND('Mapa final'!$AB$13="Alta",'Mapa final'!$AD$13="Menor"),CONCATENATE("R3C",'Mapa final'!$R$13),"")</f>
        <v/>
      </c>
      <c r="N58" s="50" t="str">
        <f>IF(AND('Mapa final'!$AB$14="Alta",'Mapa final'!$AD$14="Menor"),CONCATENATE("R3C",'Mapa final'!$R$14),"")</f>
        <v/>
      </c>
      <c r="O58" s="111" t="str">
        <f>IF(AND('Mapa final'!$AB$15="Alta",'Mapa final'!$AD$15="Menor"),CONCATENATE("R3C",'Mapa final'!$R$15),"")</f>
        <v/>
      </c>
      <c r="P58" s="105" t="str">
        <f>IF(AND('Mapa final'!$AB$13="Alta",'Mapa final'!$AD$13="Moderado"),CONCATENATE("R3C",'Mapa final'!$R$13),"")</f>
        <v/>
      </c>
      <c r="Q58" s="42" t="str">
        <f>IF(AND('Mapa final'!$AB$14="Alta",'Mapa final'!$AD$14="Moderado"),CONCATENATE("R3C",'Mapa final'!$R$14),"")</f>
        <v/>
      </c>
      <c r="R58" s="106" t="str">
        <f>IF(AND('Mapa final'!$AB$15="Alta",'Mapa final'!$AD$15="Moderado"),CONCATENATE("R3C",'Mapa final'!$R$15),"")</f>
        <v/>
      </c>
      <c r="S58" s="105" t="str">
        <f>IF(AND('Mapa final'!$AB$13="Alta",'Mapa final'!$AD$13="Mayor"),CONCATENATE("R3C",'Mapa final'!$R$13),"")</f>
        <v/>
      </c>
      <c r="T58" s="42" t="str">
        <f>IF(AND('Mapa final'!$AB$14="Alta",'Mapa final'!$AD$14="Mayor"),CONCATENATE("R3C",'Mapa final'!$R$14),"")</f>
        <v/>
      </c>
      <c r="U58" s="106" t="str">
        <f>IF(AND('Mapa final'!$AB$15="Alta",'Mapa final'!$AD$15="Mayor"),CONCATENATE("R3C",'Mapa final'!$R$15),"")</f>
        <v/>
      </c>
      <c r="V58" s="43" t="str">
        <f>IF(AND('Mapa final'!$AB$13="Alta",'Mapa final'!$AD$13="Catastrófico"),CONCATENATE("R3C",'Mapa final'!$R$13),"")</f>
        <v/>
      </c>
      <c r="W58" s="44" t="str">
        <f>IF(AND('Mapa final'!$AB$14="Alta",'Mapa final'!$AD$14="Catastrófico"),CONCATENATE("R3C",'Mapa final'!$R$14),"")</f>
        <v/>
      </c>
      <c r="X58" s="100" t="str">
        <f>IF(AND('Mapa final'!$AB$15="Alta",'Mapa final'!$AD$15="Catastrófico"),CONCATENATE("R3C",'Mapa final'!$R$15),"")</f>
        <v/>
      </c>
      <c r="Y58" s="56"/>
      <c r="Z58" s="292"/>
      <c r="AA58" s="293"/>
      <c r="AB58" s="293"/>
      <c r="AC58" s="293"/>
      <c r="AD58" s="293"/>
      <c r="AE58" s="294"/>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row>
    <row r="59" spans="1:61" ht="15" customHeight="1" x14ac:dyDescent="0.35">
      <c r="A59" s="56"/>
      <c r="B59" s="307"/>
      <c r="C59" s="307"/>
      <c r="D59" s="308"/>
      <c r="E59" s="284"/>
      <c r="F59" s="297"/>
      <c r="G59" s="297"/>
      <c r="H59" s="297"/>
      <c r="I59" s="279"/>
      <c r="J59" s="49" t="e">
        <f>IF(AND('Mapa final'!#REF!="Alta",'Mapa final'!#REF!="Leve"),CONCATENATE("R4C",'Mapa final'!#REF!),"")</f>
        <v>#REF!</v>
      </c>
      <c r="K59" s="50" t="e">
        <f>IF(AND('Mapa final'!#REF!="Alta",'Mapa final'!#REF!="Leve"),CONCATENATE("R4C",'Mapa final'!#REF!),"")</f>
        <v>#REF!</v>
      </c>
      <c r="L59" s="111" t="e">
        <f>IF(AND('Mapa final'!#REF!="Alta",'Mapa final'!#REF!="Leve"),CONCATENATE("R4C",'Mapa final'!#REF!),"")</f>
        <v>#REF!</v>
      </c>
      <c r="M59" s="49" t="e">
        <f>IF(AND('Mapa final'!#REF!="Alta",'Mapa final'!#REF!="Menor"),CONCATENATE("R4C",'Mapa final'!#REF!),"")</f>
        <v>#REF!</v>
      </c>
      <c r="N59" s="50" t="e">
        <f>IF(AND('Mapa final'!#REF!="Alta",'Mapa final'!#REF!="Menor"),CONCATENATE("R4C",'Mapa final'!#REF!),"")</f>
        <v>#REF!</v>
      </c>
      <c r="O59" s="111" t="e">
        <f>IF(AND('Mapa final'!#REF!="Alta",'Mapa final'!#REF!="Menor"),CONCATENATE("R4C",'Mapa final'!#REF!),"")</f>
        <v>#REF!</v>
      </c>
      <c r="P59" s="105" t="e">
        <f>IF(AND('Mapa final'!#REF!="Alta",'Mapa final'!#REF!="Moderado"),CONCATENATE("R4C",'Mapa final'!#REF!),"")</f>
        <v>#REF!</v>
      </c>
      <c r="Q59" s="42" t="e">
        <f>IF(AND('Mapa final'!#REF!="Alta",'Mapa final'!#REF!="Moderado"),CONCATENATE("R4C",'Mapa final'!#REF!),"")</f>
        <v>#REF!</v>
      </c>
      <c r="R59" s="106" t="e">
        <f>IF(AND('Mapa final'!#REF!="Alta",'Mapa final'!#REF!="Moderado"),CONCATENATE("R4C",'Mapa final'!#REF!),"")</f>
        <v>#REF!</v>
      </c>
      <c r="S59" s="105" t="e">
        <f>IF(AND('Mapa final'!#REF!="Alta",'Mapa final'!#REF!="Mayor"),CONCATENATE("R4C",'Mapa final'!#REF!),"")</f>
        <v>#REF!</v>
      </c>
      <c r="T59" s="42" t="e">
        <f>IF(AND('Mapa final'!#REF!="Alta",'Mapa final'!#REF!="Mayor"),CONCATENATE("R4C",'Mapa final'!#REF!),"")</f>
        <v>#REF!</v>
      </c>
      <c r="U59" s="106" t="e">
        <f>IF(AND('Mapa final'!#REF!="Alta",'Mapa final'!#REF!="Mayor"),CONCATENATE("R4C",'Mapa final'!#REF!),"")</f>
        <v>#REF!</v>
      </c>
      <c r="V59" s="43" t="e">
        <f>IF(AND('Mapa final'!#REF!="Alta",'Mapa final'!#REF!="Catastrófico"),CONCATENATE("R4C",'Mapa final'!#REF!),"")</f>
        <v>#REF!</v>
      </c>
      <c r="W59" s="44" t="e">
        <f>IF(AND('Mapa final'!#REF!="Alta",'Mapa final'!#REF!="Catastrófico"),CONCATENATE("R4C",'Mapa final'!#REF!),"")</f>
        <v>#REF!</v>
      </c>
      <c r="X59" s="100" t="e">
        <f>IF(AND('Mapa final'!#REF!="Alta",'Mapa final'!#REF!="Catastrófico"),CONCATENATE("R4C",'Mapa final'!#REF!),"")</f>
        <v>#REF!</v>
      </c>
      <c r="Y59" s="56"/>
      <c r="Z59" s="292"/>
      <c r="AA59" s="293"/>
      <c r="AB59" s="293"/>
      <c r="AC59" s="293"/>
      <c r="AD59" s="293"/>
      <c r="AE59" s="294"/>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row>
    <row r="60" spans="1:61" ht="12" customHeight="1" x14ac:dyDescent="0.35">
      <c r="A60" s="56"/>
      <c r="B60" s="307"/>
      <c r="C60" s="307"/>
      <c r="D60" s="308"/>
      <c r="E60" s="284"/>
      <c r="F60" s="297"/>
      <c r="G60" s="297"/>
      <c r="H60" s="297"/>
      <c r="I60" s="279"/>
      <c r="J60" s="49" t="e">
        <f>IF(AND('Mapa final'!#REF!="Alta",'Mapa final'!#REF!="Leve"),CONCATENATE("R5C",'Mapa final'!#REF!),"")</f>
        <v>#REF!</v>
      </c>
      <c r="K60" s="50" t="e">
        <f>IF(AND('Mapa final'!#REF!="Alta",'Mapa final'!#REF!="Leve"),CONCATENATE("R5C",'Mapa final'!#REF!),"")</f>
        <v>#REF!</v>
      </c>
      <c r="L60" s="111" t="e">
        <f>IF(AND('Mapa final'!#REF!="Alta",'Mapa final'!#REF!="Leve"),CONCATENATE("R5C",'Mapa final'!#REF!),"")</f>
        <v>#REF!</v>
      </c>
      <c r="M60" s="49" t="e">
        <f>IF(AND('Mapa final'!#REF!="Alta",'Mapa final'!#REF!="Menor"),CONCATENATE("R5C",'Mapa final'!#REF!),"")</f>
        <v>#REF!</v>
      </c>
      <c r="N60" s="50" t="e">
        <f>IF(AND('Mapa final'!#REF!="Alta",'Mapa final'!#REF!="Menor"),CONCATENATE("R5C",'Mapa final'!#REF!),"")</f>
        <v>#REF!</v>
      </c>
      <c r="O60" s="111" t="e">
        <f>IF(AND('Mapa final'!#REF!="Alta",'Mapa final'!#REF!="Menor"),CONCATENATE("R5C",'Mapa final'!#REF!),"")</f>
        <v>#REF!</v>
      </c>
      <c r="P60" s="105" t="e">
        <f>IF(AND('Mapa final'!#REF!="Alta",'Mapa final'!#REF!="Moderado"),CONCATENATE("R5C",'Mapa final'!#REF!),"")</f>
        <v>#REF!</v>
      </c>
      <c r="Q60" s="42" t="e">
        <f>IF(AND('Mapa final'!#REF!="Alta",'Mapa final'!#REF!="Moderado"),CONCATENATE("R5C",'Mapa final'!#REF!),"")</f>
        <v>#REF!</v>
      </c>
      <c r="R60" s="106" t="e">
        <f>IF(AND('Mapa final'!#REF!="Alta",'Mapa final'!#REF!="Moderado"),CONCATENATE("R5C",'Mapa final'!#REF!),"")</f>
        <v>#REF!</v>
      </c>
      <c r="S60" s="105" t="e">
        <f>IF(AND('Mapa final'!#REF!="Alta",'Mapa final'!#REF!="Mayor"),CONCATENATE("R5C",'Mapa final'!#REF!),"")</f>
        <v>#REF!</v>
      </c>
      <c r="T60" s="42" t="e">
        <f>IF(AND('Mapa final'!#REF!="Alta",'Mapa final'!#REF!="Mayor"),CONCATENATE("R5C",'Mapa final'!#REF!),"")</f>
        <v>#REF!</v>
      </c>
      <c r="U60" s="106" t="e">
        <f>IF(AND('Mapa final'!#REF!="Alta",'Mapa final'!#REF!="Mayor"),CONCATENATE("R5C",'Mapa final'!#REF!),"")</f>
        <v>#REF!</v>
      </c>
      <c r="V60" s="43" t="e">
        <f>IF(AND('Mapa final'!#REF!="Alta",'Mapa final'!#REF!="Catastrófico"),CONCATENATE("R5C",'Mapa final'!#REF!),"")</f>
        <v>#REF!</v>
      </c>
      <c r="W60" s="44" t="e">
        <f>IF(AND('Mapa final'!#REF!="Alta",'Mapa final'!#REF!="Catastrófico"),CONCATENATE("R5C",'Mapa final'!#REF!),"")</f>
        <v>#REF!</v>
      </c>
      <c r="X60" s="100" t="e">
        <f>IF(AND('Mapa final'!#REF!="Alta",'Mapa final'!#REF!="Catastrófico"),CONCATENATE("R5C",'Mapa final'!#REF!),"")</f>
        <v>#REF!</v>
      </c>
      <c r="Y60" s="56"/>
      <c r="Z60" s="292"/>
      <c r="AA60" s="293"/>
      <c r="AB60" s="293"/>
      <c r="AC60" s="293"/>
      <c r="AD60" s="293"/>
      <c r="AE60" s="294"/>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row>
    <row r="61" spans="1:61" ht="12" customHeight="1" x14ac:dyDescent="0.35">
      <c r="A61" s="56"/>
      <c r="B61" s="307"/>
      <c r="C61" s="307"/>
      <c r="D61" s="308"/>
      <c r="E61" s="284"/>
      <c r="F61" s="297"/>
      <c r="G61" s="297"/>
      <c r="H61" s="297"/>
      <c r="I61" s="279"/>
      <c r="J61" s="49" t="str">
        <f>IF(AND('Mapa final'!$AB$16="Alta",'Mapa final'!$AD$16="Leve"),CONCATENATE("R6C",'Mapa final'!$R$16),"")</f>
        <v/>
      </c>
      <c r="K61" s="50" t="str">
        <f>IF(AND('Mapa final'!$AB$17="Alta",'Mapa final'!$AD$17="Leve"),CONCATENATE("R6C",'Mapa final'!$R$17),"")</f>
        <v/>
      </c>
      <c r="L61" s="111" t="str">
        <f>IF(AND('Mapa final'!$AB$18="Alta",'Mapa final'!$AD$18="Leve"),CONCATENATE("R6C",'Mapa final'!$R$18),"")</f>
        <v/>
      </c>
      <c r="M61" s="49" t="str">
        <f>IF(AND('Mapa final'!$AB$16="Alta",'Mapa final'!$AD$16="Menor"),CONCATENATE("R6C",'Mapa final'!$R$16),"")</f>
        <v/>
      </c>
      <c r="N61" s="50" t="str">
        <f>IF(AND('Mapa final'!$AB$17="Alta",'Mapa final'!$AD$17="Menor"),CONCATENATE("R6C",'Mapa final'!$R$17),"")</f>
        <v/>
      </c>
      <c r="O61" s="111" t="str">
        <f>IF(AND('Mapa final'!$AB$18="Alta",'Mapa final'!$AD$18="Menor"),CONCATENATE("R6C",'Mapa final'!$R$18),"")</f>
        <v/>
      </c>
      <c r="P61" s="105" t="str">
        <f>IF(AND('Mapa final'!$AB$16="Alta",'Mapa final'!$AD$16="Moderado"),CONCATENATE("R6C",'Mapa final'!$R$16),"")</f>
        <v/>
      </c>
      <c r="Q61" s="42" t="str">
        <f>IF(AND('Mapa final'!$AB$17="Alta",'Mapa final'!$AD$17="Moderado"),CONCATENATE("R6C",'Mapa final'!$R$17),"")</f>
        <v/>
      </c>
      <c r="R61" s="106" t="str">
        <f>IF(AND('Mapa final'!$AB$18="Alta",'Mapa final'!$AD$18="Moderado"),CONCATENATE("R6C",'Mapa final'!$R$18),"")</f>
        <v/>
      </c>
      <c r="S61" s="105" t="str">
        <f>IF(AND('Mapa final'!$AB$16="Alta",'Mapa final'!$AD$16="Mayor"),CONCATENATE("R6C",'Mapa final'!$R$16),"")</f>
        <v/>
      </c>
      <c r="T61" s="42" t="str">
        <f>IF(AND('Mapa final'!$AB$17="Alta",'Mapa final'!$AD$17="Mayor"),CONCATENATE("R6C",'Mapa final'!$R$17),"")</f>
        <v/>
      </c>
      <c r="U61" s="106" t="str">
        <f>IF(AND('Mapa final'!$AB$18="Alta",'Mapa final'!$AD$18="Mayor"),CONCATENATE("R6C",'Mapa final'!$R$18),"")</f>
        <v/>
      </c>
      <c r="V61" s="43" t="str">
        <f>IF(AND('Mapa final'!$AB$16="Alta",'Mapa final'!$AD$16="Catastrófico"),CONCATENATE("R6C",'Mapa final'!$R$16),"")</f>
        <v/>
      </c>
      <c r="W61" s="44" t="str">
        <f>IF(AND('Mapa final'!$AB$17="Alta",'Mapa final'!$AD$17="Catastrófico"),CONCATENATE("R6C",'Mapa final'!$R$17),"")</f>
        <v/>
      </c>
      <c r="X61" s="100" t="str">
        <f>IF(AND('Mapa final'!$AB$18="Alta",'Mapa final'!$AD$18="Catastrófico"),CONCATENATE("R6C",'Mapa final'!$R$18),"")</f>
        <v/>
      </c>
      <c r="Y61" s="56"/>
      <c r="Z61" s="292"/>
      <c r="AA61" s="293"/>
      <c r="AB61" s="293"/>
      <c r="AC61" s="293"/>
      <c r="AD61" s="293"/>
      <c r="AE61" s="294"/>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row>
    <row r="62" spans="1:61" ht="12" customHeight="1" x14ac:dyDescent="0.35">
      <c r="A62" s="56"/>
      <c r="B62" s="307"/>
      <c r="C62" s="307"/>
      <c r="D62" s="308"/>
      <c r="E62" s="284"/>
      <c r="F62" s="297"/>
      <c r="G62" s="297"/>
      <c r="H62" s="297"/>
      <c r="I62" s="279"/>
      <c r="J62" s="49" t="str">
        <f>IF(AND('Mapa final'!$AB$19="Alta",'Mapa final'!$AD$19="Leve"),CONCATENATE("R7C",'Mapa final'!$R$19),"")</f>
        <v/>
      </c>
      <c r="K62" s="50" t="str">
        <f>IF(AND('Mapa final'!$AB$20="Alta",'Mapa final'!$AD$20="Leve"),CONCATENATE("R7C",'Mapa final'!$R$20),"")</f>
        <v/>
      </c>
      <c r="L62" s="111" t="str">
        <f>IF(AND('Mapa final'!$AB$21="Alta",'Mapa final'!$AD$21="Leve"),CONCATENATE("R7C",'Mapa final'!$R$21),"")</f>
        <v/>
      </c>
      <c r="M62" s="49" t="str">
        <f>IF(AND('Mapa final'!$AB$19="Alta",'Mapa final'!$AD$19="Menor"),CONCATENATE("R7C",'Mapa final'!$R$19),"")</f>
        <v/>
      </c>
      <c r="N62" s="50" t="str">
        <f>IF(AND('Mapa final'!$AB$20="Alta",'Mapa final'!$AD$20="Menor"),CONCATENATE("R7C",'Mapa final'!$R$20),"")</f>
        <v/>
      </c>
      <c r="O62" s="111" t="str">
        <f>IF(AND('Mapa final'!$AB$21="Alta",'Mapa final'!$AD$21="Menor"),CONCATENATE("R7C",'Mapa final'!$R$21),"")</f>
        <v/>
      </c>
      <c r="P62" s="105" t="str">
        <f>IF(AND('Mapa final'!$AB$19="Alta",'Mapa final'!$AD$19="Moderado"),CONCATENATE("R7C",'Mapa final'!$R$19),"")</f>
        <v/>
      </c>
      <c r="Q62" s="42" t="str">
        <f>IF(AND('Mapa final'!$AB$20="Alta",'Mapa final'!$AD$20="Moderado"),CONCATENATE("R7C",'Mapa final'!$R$20),"")</f>
        <v/>
      </c>
      <c r="R62" s="106" t="str">
        <f>IF(AND('Mapa final'!$AB$21="Alta",'Mapa final'!$AD$21="Moderado"),CONCATENATE("R7C",'Mapa final'!$R$21),"")</f>
        <v/>
      </c>
      <c r="S62" s="105" t="str">
        <f>IF(AND('Mapa final'!$AB$19="Alta",'Mapa final'!$AD$19="Mayor"),CONCATENATE("R7C",'Mapa final'!$R$19),"")</f>
        <v/>
      </c>
      <c r="T62" s="42" t="str">
        <f>IF(AND('Mapa final'!$AB$20="Alta",'Mapa final'!$AD$20="Mayor"),CONCATENATE("R7C",'Mapa final'!$R$20),"")</f>
        <v/>
      </c>
      <c r="U62" s="106" t="str">
        <f>IF(AND('Mapa final'!$AB$21="Alta",'Mapa final'!$AD$21="Mayor"),CONCATENATE("R7C",'Mapa final'!$R$21),"")</f>
        <v/>
      </c>
      <c r="V62" s="43" t="str">
        <f>IF(AND('Mapa final'!$AB$19="Alta",'Mapa final'!$AD$19="Catastrófico"),CONCATENATE("R7C",'Mapa final'!$R$19),"")</f>
        <v/>
      </c>
      <c r="W62" s="44" t="str">
        <f>IF(AND('Mapa final'!$AB$20="Alta",'Mapa final'!$AD$20="Catastrófico"),CONCATENATE("R7C",'Mapa final'!$R$20),"")</f>
        <v/>
      </c>
      <c r="X62" s="100" t="str">
        <f>IF(AND('Mapa final'!$AB$21="Alta",'Mapa final'!$AD$21="Catastrófico"),CONCATENATE("R7C",'Mapa final'!$R$21),"")</f>
        <v/>
      </c>
      <c r="Y62" s="56"/>
      <c r="Z62" s="292"/>
      <c r="AA62" s="293"/>
      <c r="AB62" s="293"/>
      <c r="AC62" s="293"/>
      <c r="AD62" s="293"/>
      <c r="AE62" s="294"/>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row>
    <row r="63" spans="1:61" ht="12" customHeight="1" x14ac:dyDescent="0.35">
      <c r="A63" s="56"/>
      <c r="B63" s="307"/>
      <c r="C63" s="307"/>
      <c r="D63" s="308"/>
      <c r="E63" s="284"/>
      <c r="F63" s="297"/>
      <c r="G63" s="297"/>
      <c r="H63" s="297"/>
      <c r="I63" s="279"/>
      <c r="J63" s="49" t="str">
        <f>IF(AND('Mapa final'!$AB$22="Alta",'Mapa final'!$AD$22="Leve"),CONCATENATE("R8C",'Mapa final'!$R$22),"")</f>
        <v/>
      </c>
      <c r="K63" s="50" t="str">
        <f>IF(AND('Mapa final'!$AB$23="Alta",'Mapa final'!$AD$23="Leve"),CONCATENATE("R8C",'Mapa final'!$R$23),"")</f>
        <v/>
      </c>
      <c r="L63" s="111" t="str">
        <f>IF(AND('Mapa final'!$AB$24="Alta",'Mapa final'!$AD$24="Leve"),CONCATENATE("R8C",'Mapa final'!$R$24),"")</f>
        <v/>
      </c>
      <c r="M63" s="49" t="str">
        <f>IF(AND('Mapa final'!$AB$22="Alta",'Mapa final'!$AD$22="Menor"),CONCATENATE("R8C",'Mapa final'!$R$22),"")</f>
        <v/>
      </c>
      <c r="N63" s="50" t="str">
        <f>IF(AND('Mapa final'!$AB$23="Alta",'Mapa final'!$AD$23="Menor"),CONCATENATE("R8C",'Mapa final'!$R$23),"")</f>
        <v/>
      </c>
      <c r="O63" s="111" t="str">
        <f>IF(AND('Mapa final'!$AB$24="Alta",'Mapa final'!$AD$24="Menor"),CONCATENATE("R8C",'Mapa final'!$R$24),"")</f>
        <v/>
      </c>
      <c r="P63" s="105" t="str">
        <f>IF(AND('Mapa final'!$AB$22="Alta",'Mapa final'!$AD$22="Moderado"),CONCATENATE("R8C",'Mapa final'!$R$22),"")</f>
        <v/>
      </c>
      <c r="Q63" s="42" t="str">
        <f>IF(AND('Mapa final'!$AB$23="Alta",'Mapa final'!$AD$23="Moderado"),CONCATENATE("R8C",'Mapa final'!$R$23),"")</f>
        <v/>
      </c>
      <c r="R63" s="106" t="str">
        <f>IF(AND('Mapa final'!$AB$24="Alta",'Mapa final'!$AD$24="Moderado"),CONCATENATE("R8C",'Mapa final'!$R$24),"")</f>
        <v/>
      </c>
      <c r="S63" s="105" t="str">
        <f>IF(AND('Mapa final'!$AB$22="Alta",'Mapa final'!$AD$22="Mayor"),CONCATENATE("R8C",'Mapa final'!$R$22),"")</f>
        <v/>
      </c>
      <c r="T63" s="42" t="str">
        <f>IF(AND('Mapa final'!$AB$23="Alta",'Mapa final'!$AD$23="Mayor"),CONCATENATE("R8C",'Mapa final'!$R$23),"")</f>
        <v/>
      </c>
      <c r="U63" s="106" t="str">
        <f>IF(AND('Mapa final'!$AB$24="Alta",'Mapa final'!$AD$24="Mayor"),CONCATENATE("R8C",'Mapa final'!$R$24),"")</f>
        <v/>
      </c>
      <c r="V63" s="43" t="str">
        <f>IF(AND('Mapa final'!$AB$22="Alta",'Mapa final'!$AD$22="Catastrófico"),CONCATENATE("R8C",'Mapa final'!$R$22),"")</f>
        <v/>
      </c>
      <c r="W63" s="44" t="str">
        <f>IF(AND('Mapa final'!$AB$23="Alta",'Mapa final'!$AD$23="Catastrófico"),CONCATENATE("R8C",'Mapa final'!$R$23),"")</f>
        <v/>
      </c>
      <c r="X63" s="100" t="str">
        <f>IF(AND('Mapa final'!$AB$24="Alta",'Mapa final'!$AD$24="Catastrófico"),CONCATENATE("R8C",'Mapa final'!$R$24),"")</f>
        <v/>
      </c>
      <c r="Y63" s="56"/>
      <c r="Z63" s="292"/>
      <c r="AA63" s="293"/>
      <c r="AB63" s="293"/>
      <c r="AC63" s="293"/>
      <c r="AD63" s="293"/>
      <c r="AE63" s="294"/>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row>
    <row r="64" spans="1:61" ht="12" customHeight="1" x14ac:dyDescent="0.35">
      <c r="A64" s="56"/>
      <c r="B64" s="307"/>
      <c r="C64" s="307"/>
      <c r="D64" s="308"/>
      <c r="E64" s="284"/>
      <c r="F64" s="297"/>
      <c r="G64" s="297"/>
      <c r="H64" s="297"/>
      <c r="I64" s="279"/>
      <c r="J64" s="49" t="str">
        <f>IF(AND('Mapa final'!$AB$25="Alta",'Mapa final'!$AD$25="Leve"),CONCATENATE("R9C",'Mapa final'!$R$25),"")</f>
        <v/>
      </c>
      <c r="K64" s="50" t="str">
        <f>IF(AND('Mapa final'!$AB$26="Alta",'Mapa final'!$AD$26="Leve"),CONCATENATE("R9C",'Mapa final'!$R$26),"")</f>
        <v/>
      </c>
      <c r="L64" s="111" t="str">
        <f>IF(AND('Mapa final'!$AB$27="Alta",'Mapa final'!$AD$27="Leve"),CONCATENATE("R9C",'Mapa final'!$R$27),"")</f>
        <v/>
      </c>
      <c r="M64" s="49" t="str">
        <f>IF(AND('Mapa final'!$AB$25="Alta",'Mapa final'!$AD$25="Menor"),CONCATENATE("R9C",'Mapa final'!$R$25),"")</f>
        <v/>
      </c>
      <c r="N64" s="50" t="str">
        <f>IF(AND('Mapa final'!$AB$26="Alta",'Mapa final'!$AD$26="Menor"),CONCATENATE("R9C",'Mapa final'!$R$26),"")</f>
        <v/>
      </c>
      <c r="O64" s="111" t="str">
        <f>IF(AND('Mapa final'!$AB$27="Alta",'Mapa final'!$AD$27="Menor"),CONCATENATE("R9C",'Mapa final'!$R$27),"")</f>
        <v/>
      </c>
      <c r="P64" s="105" t="str">
        <f>IF(AND('Mapa final'!$AB$25="Alta",'Mapa final'!$AD$25="Moderado"),CONCATENATE("R9C",'Mapa final'!$R$25),"")</f>
        <v/>
      </c>
      <c r="Q64" s="42" t="str">
        <f>IF(AND('Mapa final'!$AB$26="Alta",'Mapa final'!$AD$26="Moderado"),CONCATENATE("R9C",'Mapa final'!$R$26),"")</f>
        <v/>
      </c>
      <c r="R64" s="106" t="str">
        <f>IF(AND('Mapa final'!$AB$27="Alta",'Mapa final'!$AD$27="Moderado"),CONCATENATE("R9C",'Mapa final'!$R$27),"")</f>
        <v/>
      </c>
      <c r="S64" s="105" t="str">
        <f>IF(AND('Mapa final'!$AB$25="Alta",'Mapa final'!$AD$25="Mayor"),CONCATENATE("R9C",'Mapa final'!$R$25),"")</f>
        <v/>
      </c>
      <c r="T64" s="42" t="str">
        <f>IF(AND('Mapa final'!$AB$26="Alta",'Mapa final'!$AD$26="Mayor"),CONCATENATE("R9C",'Mapa final'!$R$26),"")</f>
        <v/>
      </c>
      <c r="U64" s="106" t="str">
        <f>IF(AND('Mapa final'!$AB$27="Alta",'Mapa final'!$AD$27="Mayor"),CONCATENATE("R9C",'Mapa final'!$R$27),"")</f>
        <v/>
      </c>
      <c r="V64" s="43" t="str">
        <f>IF(AND('Mapa final'!$AB$25="Alta",'Mapa final'!$AD$25="Catastrófico"),CONCATENATE("R9C",'Mapa final'!$R$25),"")</f>
        <v/>
      </c>
      <c r="W64" s="44" t="str">
        <f>IF(AND('Mapa final'!$AB$26="Alta",'Mapa final'!$AD$26="Catastrófico"),CONCATENATE("R9C",'Mapa final'!$R$26),"")</f>
        <v/>
      </c>
      <c r="X64" s="100" t="str">
        <f>IF(AND('Mapa final'!$AB$27="Alta",'Mapa final'!$AD$27="Catastrófico"),CONCATENATE("R9C",'Mapa final'!$R$27),"")</f>
        <v/>
      </c>
      <c r="Y64" s="56"/>
      <c r="Z64" s="292"/>
      <c r="AA64" s="293"/>
      <c r="AB64" s="293"/>
      <c r="AC64" s="293"/>
      <c r="AD64" s="293"/>
      <c r="AE64" s="294"/>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row>
    <row r="65" spans="1:61" ht="12" customHeight="1" x14ac:dyDescent="0.35">
      <c r="A65" s="56"/>
      <c r="B65" s="307"/>
      <c r="C65" s="307"/>
      <c r="D65" s="308"/>
      <c r="E65" s="284"/>
      <c r="F65" s="297"/>
      <c r="G65" s="297"/>
      <c r="H65" s="297"/>
      <c r="I65" s="279"/>
      <c r="J65" s="49" t="str">
        <f>IF(AND('Mapa final'!$AB$28="Alta",'Mapa final'!$AD$28="Leve"),CONCATENATE("R10C",'Mapa final'!$R$28),"")</f>
        <v/>
      </c>
      <c r="K65" s="50" t="str">
        <f>IF(AND('Mapa final'!$AB$29="Alta",'Mapa final'!$AD$29="Leve"),CONCATENATE("R10C",'Mapa final'!$R$29),"")</f>
        <v/>
      </c>
      <c r="L65" s="111" t="str">
        <f>IF(AND('Mapa final'!$AB$30="Alta",'Mapa final'!$AD$30="Leve"),CONCATENATE("R10C",'Mapa final'!$R$30),"")</f>
        <v/>
      </c>
      <c r="M65" s="49" t="str">
        <f>IF(AND('Mapa final'!$AB$28="Alta",'Mapa final'!$AD$28="Menor"),CONCATENATE("R10C",'Mapa final'!$R$28),"")</f>
        <v/>
      </c>
      <c r="N65" s="50" t="str">
        <f>IF(AND('Mapa final'!$AB$29="Alta",'Mapa final'!$AD$29="Menor"),CONCATENATE("R10C",'Mapa final'!$R$29),"")</f>
        <v/>
      </c>
      <c r="O65" s="111" t="str">
        <f>IF(AND('Mapa final'!$AB$30="Alta",'Mapa final'!$AD$30="Menor"),CONCATENATE("R10C",'Mapa final'!$R$30),"")</f>
        <v/>
      </c>
      <c r="P65" s="105" t="str">
        <f>IF(AND('Mapa final'!$AB$28="Alta",'Mapa final'!$AD$28="Moderado"),CONCATENATE("R10C",'Mapa final'!$R$28),"")</f>
        <v/>
      </c>
      <c r="Q65" s="42" t="str">
        <f>IF(AND('Mapa final'!$AB$29="Alta",'Mapa final'!$AD$29="Moderado"),CONCATENATE("R10C",'Mapa final'!$R$29),"")</f>
        <v/>
      </c>
      <c r="R65" s="106" t="str">
        <f>IF(AND('Mapa final'!$AB$30="Alta",'Mapa final'!$AD$30="Moderado"),CONCATENATE("R10C",'Mapa final'!$R$30),"")</f>
        <v/>
      </c>
      <c r="S65" s="105" t="str">
        <f>IF(AND('Mapa final'!$AB$28="Alta",'Mapa final'!$AD$28="Mayor"),CONCATENATE("R10C",'Mapa final'!$R$28),"")</f>
        <v/>
      </c>
      <c r="T65" s="42" t="str">
        <f>IF(AND('Mapa final'!$AB$29="Alta",'Mapa final'!$AD$29="Mayor"),CONCATENATE("R10C",'Mapa final'!$R$29),"")</f>
        <v/>
      </c>
      <c r="U65" s="106" t="str">
        <f>IF(AND('Mapa final'!$AB$30="Alta",'Mapa final'!$AD$30="Mayor"),CONCATENATE("R10C",'Mapa final'!$R$30),"")</f>
        <v/>
      </c>
      <c r="V65" s="43" t="str">
        <f>IF(AND('Mapa final'!$AB$28="Alta",'Mapa final'!$AD$28="Catastrófico"),CONCATENATE("R10C",'Mapa final'!$R$28),"")</f>
        <v/>
      </c>
      <c r="W65" s="44" t="str">
        <f>IF(AND('Mapa final'!$AB$29="Alta",'Mapa final'!$AD$29="Catastrófico"),CONCATENATE("R10C",'Mapa final'!$R$29),"")</f>
        <v/>
      </c>
      <c r="X65" s="100" t="str">
        <f>IF(AND('Mapa final'!$AB$30="Alta",'Mapa final'!$AD$30="Catastrófico"),CONCATENATE("R10C",'Mapa final'!$R$30),"")</f>
        <v/>
      </c>
      <c r="Y65" s="56"/>
      <c r="Z65" s="292"/>
      <c r="AA65" s="293"/>
      <c r="AB65" s="293"/>
      <c r="AC65" s="293"/>
      <c r="AD65" s="293"/>
      <c r="AE65" s="294"/>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row>
    <row r="66" spans="1:61" ht="12" customHeight="1" x14ac:dyDescent="0.35">
      <c r="A66" s="56"/>
      <c r="B66" s="307"/>
      <c r="C66" s="307"/>
      <c r="D66" s="308"/>
      <c r="E66" s="284"/>
      <c r="F66" s="297"/>
      <c r="G66" s="297"/>
      <c r="H66" s="297"/>
      <c r="I66" s="279"/>
      <c r="J66" s="49" t="str">
        <f>IF(AND('Mapa final'!$AB$31="Alta",'Mapa final'!$AD$31="Leve"),CONCATENATE("R11C",'Mapa final'!$R$31),"")</f>
        <v/>
      </c>
      <c r="K66" s="50" t="str">
        <f>IF(AND('Mapa final'!$AB$32="Alta",'Mapa final'!$AD$32="Leve"),CONCATENATE("R11C",'Mapa final'!$R$32),"")</f>
        <v/>
      </c>
      <c r="L66" s="111" t="str">
        <f>IF(AND('Mapa final'!$AB$33="Alta",'Mapa final'!$AD$33="Leve"),CONCATENATE("R11C",'Mapa final'!$R$33),"")</f>
        <v/>
      </c>
      <c r="M66" s="49" t="str">
        <f>IF(AND('Mapa final'!$AB$31="Alta",'Mapa final'!$AD$31="Menor"),CONCATENATE("R11C",'Mapa final'!$R$31),"")</f>
        <v/>
      </c>
      <c r="N66" s="50" t="str">
        <f>IF(AND('Mapa final'!$AB$32="Alta",'Mapa final'!$AD$32="Menor"),CONCATENATE("R11C",'Mapa final'!$R$32),"")</f>
        <v/>
      </c>
      <c r="O66" s="111" t="str">
        <f>IF(AND('Mapa final'!$AB$33="Alta",'Mapa final'!$AD$33="Menor"),CONCATENATE("R11C",'Mapa final'!$R$33),"")</f>
        <v/>
      </c>
      <c r="P66" s="105" t="str">
        <f>IF(AND('Mapa final'!$AB$31="Alta",'Mapa final'!$AD$31="Moderado"),CONCATENATE("R11C",'Mapa final'!$R$31),"")</f>
        <v/>
      </c>
      <c r="Q66" s="42" t="str">
        <f>IF(AND('Mapa final'!$AB$32="Alta",'Mapa final'!$AD$32="Moderado"),CONCATENATE("R11C",'Mapa final'!$R$32),"")</f>
        <v/>
      </c>
      <c r="R66" s="106" t="str">
        <f>IF(AND('Mapa final'!$AB$33="Alta",'Mapa final'!$AD$33="Moderado"),CONCATENATE("R11C",'Mapa final'!$R$33),"")</f>
        <v/>
      </c>
      <c r="S66" s="105" t="str">
        <f>IF(AND('Mapa final'!$AB$31="Alta",'Mapa final'!$AD$31="Mayor"),CONCATENATE("R11C",'Mapa final'!$R$31),"")</f>
        <v/>
      </c>
      <c r="T66" s="42" t="str">
        <f>IF(AND('Mapa final'!$AB$32="Alta",'Mapa final'!$AD$32="Mayor"),CONCATENATE("R11C",'Mapa final'!$R$32),"")</f>
        <v/>
      </c>
      <c r="U66" s="106" t="str">
        <f>IF(AND('Mapa final'!$AB$33="Alta",'Mapa final'!$AD$33="Mayor"),CONCATENATE("R11C",'Mapa final'!$R$33),"")</f>
        <v/>
      </c>
      <c r="V66" s="43" t="str">
        <f>IF(AND('Mapa final'!$AB$31="Alta",'Mapa final'!$AD$31="Catastrófico"),CONCATENATE("R11C",'Mapa final'!$R$31),"")</f>
        <v/>
      </c>
      <c r="W66" s="44" t="str">
        <f>IF(AND('Mapa final'!$AB$32="Alta",'Mapa final'!$AD$32="Catastrófico"),CONCATENATE("R11C",'Mapa final'!$R$32),"")</f>
        <v/>
      </c>
      <c r="X66" s="100" t="str">
        <f>IF(AND('Mapa final'!$AB$33="Alta",'Mapa final'!$AD$33="Catastrófico"),CONCATENATE("R11C",'Mapa final'!$R$33),"")</f>
        <v/>
      </c>
      <c r="Y66" s="56"/>
      <c r="Z66" s="292"/>
      <c r="AA66" s="293"/>
      <c r="AB66" s="293"/>
      <c r="AC66" s="293"/>
      <c r="AD66" s="293"/>
      <c r="AE66" s="294"/>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row>
    <row r="67" spans="1:61" ht="12" customHeight="1" x14ac:dyDescent="0.35">
      <c r="A67" s="56"/>
      <c r="B67" s="307"/>
      <c r="C67" s="307"/>
      <c r="D67" s="308"/>
      <c r="E67" s="284"/>
      <c r="F67" s="297"/>
      <c r="G67" s="297"/>
      <c r="H67" s="297"/>
      <c r="I67" s="279"/>
      <c r="J67" s="49" t="str">
        <f>IF(AND('Mapa final'!$AB$34="Alta",'Mapa final'!$AD$34="Leve"),CONCATENATE("R12C",'Mapa final'!$R$34),"")</f>
        <v/>
      </c>
      <c r="K67" s="50" t="str">
        <f>IF(AND('Mapa final'!$AB$35="Alta",'Mapa final'!$AD$35="Leve"),CONCATENATE("R12C",'Mapa final'!$R$35),"")</f>
        <v/>
      </c>
      <c r="L67" s="111" t="str">
        <f>IF(AND('Mapa final'!$AB$36="Alta",'Mapa final'!$AD$36="Leve"),CONCATENATE("R12C",'Mapa final'!$R$36),"")</f>
        <v/>
      </c>
      <c r="M67" s="49" t="str">
        <f>IF(AND('Mapa final'!$AB$34="Alta",'Mapa final'!$AD$34="Menor"),CONCATENATE("R12C",'Mapa final'!$R$34),"")</f>
        <v/>
      </c>
      <c r="N67" s="50" t="str">
        <f>IF(AND('Mapa final'!$AB$35="Alta",'Mapa final'!$AD$35="Menor"),CONCATENATE("R12C",'Mapa final'!$R$35),"")</f>
        <v/>
      </c>
      <c r="O67" s="111" t="str">
        <f>IF(AND('Mapa final'!$AB$36="Alta",'Mapa final'!$AD$36="Menor"),CONCATENATE("R12C",'Mapa final'!$R$36),"")</f>
        <v/>
      </c>
      <c r="P67" s="105" t="str">
        <f>IF(AND('Mapa final'!$AB$34="Alta",'Mapa final'!$AD$34="Moderado"),CONCATENATE("R12C",'Mapa final'!$R$34),"")</f>
        <v/>
      </c>
      <c r="Q67" s="42" t="str">
        <f>IF(AND('Mapa final'!$AB$35="Alta",'Mapa final'!$AD$35="Moderado"),CONCATENATE("R12C",'Mapa final'!$R$35),"")</f>
        <v/>
      </c>
      <c r="R67" s="106" t="str">
        <f>IF(AND('Mapa final'!$AB$36="Alta",'Mapa final'!$AD$36="Moderado"),CONCATENATE("R12C",'Mapa final'!$R$36),"")</f>
        <v/>
      </c>
      <c r="S67" s="105" t="str">
        <f>IF(AND('Mapa final'!$AB$34="Alta",'Mapa final'!$AD$34="Mayor"),CONCATENATE("R12C",'Mapa final'!$R$34),"")</f>
        <v/>
      </c>
      <c r="T67" s="42" t="str">
        <f>IF(AND('Mapa final'!$AB$35="Alta",'Mapa final'!$AD$35="Mayor"),CONCATENATE("R12C",'Mapa final'!$R$35),"")</f>
        <v/>
      </c>
      <c r="U67" s="106" t="str">
        <f>IF(AND('Mapa final'!$AB$36="Alta",'Mapa final'!$AD$36="Mayor"),CONCATENATE("R12C",'Mapa final'!$R$36),"")</f>
        <v/>
      </c>
      <c r="V67" s="43" t="str">
        <f>IF(AND('Mapa final'!$AB$34="Alta",'Mapa final'!$AD$34="Catastrófico"),CONCATENATE("R12C",'Mapa final'!$R$34),"")</f>
        <v/>
      </c>
      <c r="W67" s="44" t="str">
        <f>IF(AND('Mapa final'!$AB$35="Alta",'Mapa final'!$AD$35="Catastrófico"),CONCATENATE("R12C",'Mapa final'!$R$35),"")</f>
        <v/>
      </c>
      <c r="X67" s="100" t="str">
        <f>IF(AND('Mapa final'!$AB$36="Alta",'Mapa final'!$AD$36="Catastrófico"),CONCATENATE("R12C",'Mapa final'!$R$36),"")</f>
        <v/>
      </c>
      <c r="Y67" s="56"/>
      <c r="Z67" s="292"/>
      <c r="AA67" s="293"/>
      <c r="AB67" s="293"/>
      <c r="AC67" s="293"/>
      <c r="AD67" s="293"/>
      <c r="AE67" s="294"/>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row>
    <row r="68" spans="1:61" ht="12" customHeight="1" x14ac:dyDescent="0.35">
      <c r="A68" s="56"/>
      <c r="B68" s="307"/>
      <c r="C68" s="307"/>
      <c r="D68" s="308"/>
      <c r="E68" s="284"/>
      <c r="F68" s="297"/>
      <c r="G68" s="297"/>
      <c r="H68" s="297"/>
      <c r="I68" s="279"/>
      <c r="J68" s="49" t="str">
        <f>IF(AND('Mapa final'!$AB$37="Alta",'Mapa final'!$AD$37="Leve"),CONCATENATE("R13C",'Mapa final'!$R$37),"")</f>
        <v/>
      </c>
      <c r="K68" s="50" t="str">
        <f>IF(AND('Mapa final'!$AB$38="Alta",'Mapa final'!$AD$38="Leve"),CONCATENATE("R13C",'Mapa final'!$R$38),"")</f>
        <v/>
      </c>
      <c r="L68" s="111" t="str">
        <f>IF(AND('Mapa final'!$AB$39="Alta",'Mapa final'!$AD$39="Leve"),CONCATENATE("R13C",'Mapa final'!$R$39),"")</f>
        <v/>
      </c>
      <c r="M68" s="49" t="str">
        <f>IF(AND('Mapa final'!$AB$37="Alta",'Mapa final'!$AD$37="Menor"),CONCATENATE("R13C",'Mapa final'!$R$37),"")</f>
        <v/>
      </c>
      <c r="N68" s="50" t="str">
        <f>IF(AND('Mapa final'!$AB$38="Alta",'Mapa final'!$AD$38="Menor"),CONCATENATE("R13C",'Mapa final'!$R$38),"")</f>
        <v/>
      </c>
      <c r="O68" s="111" t="str">
        <f>IF(AND('Mapa final'!$AB$39="Alta",'Mapa final'!$AD$39="Menor"),CONCATENATE("R13C",'Mapa final'!$R$39),"")</f>
        <v/>
      </c>
      <c r="P68" s="105" t="str">
        <f>IF(AND('Mapa final'!$AB$37="Alta",'Mapa final'!$AD$37="Moderado"),CONCATENATE("R13C",'Mapa final'!$R$37),"")</f>
        <v/>
      </c>
      <c r="Q68" s="42" t="str">
        <f>IF(AND('Mapa final'!$AB$38="Alta",'Mapa final'!$AD$38="Moderado"),CONCATENATE("R13C",'Mapa final'!$R$38),"")</f>
        <v/>
      </c>
      <c r="R68" s="106" t="str">
        <f>IF(AND('Mapa final'!$AB$39="Alta",'Mapa final'!$AD$39="Moderado"),CONCATENATE("R13C",'Mapa final'!$R$39),"")</f>
        <v/>
      </c>
      <c r="S68" s="105" t="str">
        <f>IF(AND('Mapa final'!$AB$37="Alta",'Mapa final'!$AD$37="Mayor"),CONCATENATE("R13C",'Mapa final'!$R$37),"")</f>
        <v/>
      </c>
      <c r="T68" s="42" t="str">
        <f>IF(AND('Mapa final'!$AB$38="Alta",'Mapa final'!$AD$38="Mayor"),CONCATENATE("R13C",'Mapa final'!$R$38),"")</f>
        <v/>
      </c>
      <c r="U68" s="106" t="str">
        <f>IF(AND('Mapa final'!$AB$39="Alta",'Mapa final'!$AD$39="Mayor"),CONCATENATE("R13C",'Mapa final'!$R$39),"")</f>
        <v/>
      </c>
      <c r="V68" s="43" t="str">
        <f>IF(AND('Mapa final'!$AB$37="Alta",'Mapa final'!$AD$37="Catastrófico"),CONCATENATE("R13C",'Mapa final'!$R$37),"")</f>
        <v/>
      </c>
      <c r="W68" s="44" t="str">
        <f>IF(AND('Mapa final'!$AB$38="Alta",'Mapa final'!$AD$38="Catastrófico"),CONCATENATE("R13C",'Mapa final'!$R$38),"")</f>
        <v/>
      </c>
      <c r="X68" s="100" t="str">
        <f>IF(AND('Mapa final'!$AB$39="Alta",'Mapa final'!$AD$39="Catastrófico"),CONCATENATE("R13C",'Mapa final'!$R$39),"")</f>
        <v/>
      </c>
      <c r="Y68" s="56"/>
      <c r="Z68" s="292"/>
      <c r="AA68" s="293"/>
      <c r="AB68" s="293"/>
      <c r="AC68" s="293"/>
      <c r="AD68" s="293"/>
      <c r="AE68" s="294"/>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row>
    <row r="69" spans="1:61" ht="12" customHeight="1" x14ac:dyDescent="0.35">
      <c r="A69" s="56"/>
      <c r="B69" s="307"/>
      <c r="C69" s="307"/>
      <c r="D69" s="308"/>
      <c r="E69" s="284"/>
      <c r="F69" s="297"/>
      <c r="G69" s="297"/>
      <c r="H69" s="297"/>
      <c r="I69" s="279"/>
      <c r="J69" s="49" t="str">
        <f>IF(AND('Mapa final'!$AB$40="Alta",'Mapa final'!$AD$40="Leve"),CONCATENATE("R14C",'Mapa final'!$R$40),"")</f>
        <v/>
      </c>
      <c r="K69" s="50" t="str">
        <f>IF(AND('Mapa final'!$AB$41="Alta",'Mapa final'!$AD$41="Leve"),CONCATENATE("R14C",'Mapa final'!$R$41),"")</f>
        <v/>
      </c>
      <c r="L69" s="111" t="str">
        <f>IF(AND('Mapa final'!$AB$42="Alta",'Mapa final'!$AD$42="Leve"),CONCATENATE("R14C",'Mapa final'!$R$42),"")</f>
        <v/>
      </c>
      <c r="M69" s="49" t="str">
        <f>IF(AND('Mapa final'!$AB$40="Alta",'Mapa final'!$AD$40="Menor"),CONCATENATE("R14C",'Mapa final'!$R$40),"")</f>
        <v/>
      </c>
      <c r="N69" s="50" t="str">
        <f>IF(AND('Mapa final'!$AB$41="Alta",'Mapa final'!$AD$41="Menor"),CONCATENATE("R14C",'Mapa final'!$R$41),"")</f>
        <v/>
      </c>
      <c r="O69" s="111" t="str">
        <f>IF(AND('Mapa final'!$AB$42="Alta",'Mapa final'!$AD$42="Menor"),CONCATENATE("R14C",'Mapa final'!$R$42),"")</f>
        <v/>
      </c>
      <c r="P69" s="105" t="str">
        <f>IF(AND('Mapa final'!$AB$40="Alta",'Mapa final'!$AD$40="Moderado"),CONCATENATE("R14C",'Mapa final'!$R$40),"")</f>
        <v/>
      </c>
      <c r="Q69" s="42" t="str">
        <f>IF(AND('Mapa final'!$AB$41="Alta",'Mapa final'!$AD$41="Moderado"),CONCATENATE("R14C",'Mapa final'!$R$41),"")</f>
        <v/>
      </c>
      <c r="R69" s="106" t="str">
        <f>IF(AND('Mapa final'!$AB$42="Alta",'Mapa final'!$AD$42="Moderado"),CONCATENATE("R14C",'Mapa final'!$R$42),"")</f>
        <v/>
      </c>
      <c r="S69" s="105" t="str">
        <f>IF(AND('Mapa final'!$AB$40="Alta",'Mapa final'!$AD$40="Mayor"),CONCATENATE("R14C",'Mapa final'!$R$40),"")</f>
        <v/>
      </c>
      <c r="T69" s="42" t="str">
        <f>IF(AND('Mapa final'!$AB$41="Alta",'Mapa final'!$AD$41="Mayor"),CONCATENATE("R14C",'Mapa final'!$R$41),"")</f>
        <v/>
      </c>
      <c r="U69" s="106" t="str">
        <f>IF(AND('Mapa final'!$AB$42="Alta",'Mapa final'!$AD$42="Mayor"),CONCATENATE("R14C",'Mapa final'!$R$42),"")</f>
        <v/>
      </c>
      <c r="V69" s="43" t="str">
        <f>IF(AND('Mapa final'!$AB$40="Alta",'Mapa final'!$AD$40="Catastrófico"),CONCATENATE("R14C",'Mapa final'!$R$40),"")</f>
        <v/>
      </c>
      <c r="W69" s="44" t="str">
        <f>IF(AND('Mapa final'!$AB$41="Alta",'Mapa final'!$AD$41="Catastrófico"),CONCATENATE("R14C",'Mapa final'!$R$41),"")</f>
        <v/>
      </c>
      <c r="X69" s="100" t="str">
        <f>IF(AND('Mapa final'!$AB$42="Alta",'Mapa final'!$AD$42="Catastrófico"),CONCATENATE("R14C",'Mapa final'!$R$42),"")</f>
        <v/>
      </c>
      <c r="Y69" s="56"/>
      <c r="Z69" s="292"/>
      <c r="AA69" s="293"/>
      <c r="AB69" s="293"/>
      <c r="AC69" s="293"/>
      <c r="AD69" s="293"/>
      <c r="AE69" s="294"/>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row>
    <row r="70" spans="1:61" ht="15" customHeight="1" x14ac:dyDescent="0.35">
      <c r="A70" s="56"/>
      <c r="B70" s="307"/>
      <c r="C70" s="307"/>
      <c r="D70" s="308"/>
      <c r="E70" s="284"/>
      <c r="F70" s="297"/>
      <c r="G70" s="297"/>
      <c r="H70" s="297"/>
      <c r="I70" s="279"/>
      <c r="J70" s="49" t="str">
        <f>IF(AND('Mapa final'!$AB$43="Alta",'Mapa final'!$AD$43="Leve"),CONCATENATE("R15C",'Mapa final'!$R$43),"")</f>
        <v/>
      </c>
      <c r="K70" s="50" t="str">
        <f>IF(AND('Mapa final'!$AB$44="Alta",'Mapa final'!$AD$44="Leve"),CONCATENATE("R15C",'Mapa final'!$R$44),"")</f>
        <v/>
      </c>
      <c r="L70" s="111" t="str">
        <f>IF(AND('Mapa final'!$AB$45="Alta",'Mapa final'!$AD$45="Leve"),CONCATENATE("R15C",'Mapa final'!$R$45),"")</f>
        <v/>
      </c>
      <c r="M70" s="49" t="str">
        <f>IF(AND('Mapa final'!$AB$43="Alta",'Mapa final'!$AD$43="Menor"),CONCATENATE("R15C",'Mapa final'!$R$43),"")</f>
        <v/>
      </c>
      <c r="N70" s="50" t="str">
        <f>IF(AND('Mapa final'!$AB$44="Alta",'Mapa final'!$AD$44="Menor"),CONCATENATE("R15C",'Mapa final'!$R$44),"")</f>
        <v/>
      </c>
      <c r="O70" s="111" t="str">
        <f>IF(AND('Mapa final'!$AB$45="Alta",'Mapa final'!$AD$45="Menor"),CONCATENATE("R15C",'Mapa final'!$R$45),"")</f>
        <v/>
      </c>
      <c r="P70" s="105" t="str">
        <f>IF(AND('Mapa final'!$AB$43="Alta",'Mapa final'!$AD$43="Moderado"),CONCATENATE("R15C",'Mapa final'!$R$43),"")</f>
        <v/>
      </c>
      <c r="Q70" s="42" t="str">
        <f>IF(AND('Mapa final'!$AB$44="Alta",'Mapa final'!$AD$44="Moderado"),CONCATENATE("R15C",'Mapa final'!$R$44),"")</f>
        <v/>
      </c>
      <c r="R70" s="106" t="str">
        <f>IF(AND('Mapa final'!$AB$45="Alta",'Mapa final'!$AD$45="Moderado"),CONCATENATE("R15C",'Mapa final'!$R$45),"")</f>
        <v/>
      </c>
      <c r="S70" s="105" t="str">
        <f>IF(AND('Mapa final'!$AB$43="Alta",'Mapa final'!$AD$43="Mayor"),CONCATENATE("R15C",'Mapa final'!$R$43),"")</f>
        <v/>
      </c>
      <c r="T70" s="42" t="str">
        <f>IF(AND('Mapa final'!$AB$44="Alta",'Mapa final'!$AD$44="Mayor"),CONCATENATE("R15C",'Mapa final'!$R$44),"")</f>
        <v/>
      </c>
      <c r="U70" s="106" t="str">
        <f>IF(AND('Mapa final'!$AB$45="Alta",'Mapa final'!$AD$45="Mayor"),CONCATENATE("R15C",'Mapa final'!$R$45),"")</f>
        <v/>
      </c>
      <c r="V70" s="43" t="str">
        <f>IF(AND('Mapa final'!$AB$43="Alta",'Mapa final'!$AD$43="Catastrófico"),CONCATENATE("R15C",'Mapa final'!$R$43),"")</f>
        <v/>
      </c>
      <c r="W70" s="44" t="str">
        <f>IF(AND('Mapa final'!$AB$44="Alta",'Mapa final'!$AD$44="Catastrófico"),CONCATENATE("R15C",'Mapa final'!$R$44),"")</f>
        <v/>
      </c>
      <c r="X70" s="100" t="str">
        <f>IF(AND('Mapa final'!$AB$45="Alta",'Mapa final'!$AD$45="Catastrófico"),CONCATENATE("R15C",'Mapa final'!$R$45),"")</f>
        <v/>
      </c>
      <c r="Y70" s="56"/>
      <c r="Z70" s="292"/>
      <c r="AA70" s="293"/>
      <c r="AB70" s="293"/>
      <c r="AC70" s="293"/>
      <c r="AD70" s="293"/>
      <c r="AE70" s="294"/>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row>
    <row r="71" spans="1:61" ht="15" customHeight="1" x14ac:dyDescent="0.35">
      <c r="A71" s="56"/>
      <c r="B71" s="307"/>
      <c r="C71" s="307"/>
      <c r="D71" s="308"/>
      <c r="E71" s="284"/>
      <c r="F71" s="297"/>
      <c r="G71" s="297"/>
      <c r="H71" s="297"/>
      <c r="I71" s="279"/>
      <c r="J71" s="49" t="str">
        <f>IF(AND('Mapa final'!$AB$46="Alta",'Mapa final'!$AD$46="Leve"),CONCATENATE("R16C",'Mapa final'!$R$46),"")</f>
        <v/>
      </c>
      <c r="K71" s="50" t="str">
        <f>IF(AND('Mapa final'!$AB$47="Alta",'Mapa final'!$AD$47="Leve"),CONCATENATE("R16C",'Mapa final'!$R$47),"")</f>
        <v/>
      </c>
      <c r="L71" s="111" t="str">
        <f>IF(AND('Mapa final'!$AB$48="Alta",'Mapa final'!$AD$48="Leve"),CONCATENATE("R16C",'Mapa final'!$R$48),"")</f>
        <v/>
      </c>
      <c r="M71" s="49" t="str">
        <f>IF(AND('Mapa final'!$AB$46="Alta",'Mapa final'!$AD$46="Menor"),CONCATENATE("R16C",'Mapa final'!$R$46),"")</f>
        <v/>
      </c>
      <c r="N71" s="50" t="str">
        <f>IF(AND('Mapa final'!$AB$47="Alta",'Mapa final'!$AD$47="Menor"),CONCATENATE("R16C",'Mapa final'!$R$47),"")</f>
        <v/>
      </c>
      <c r="O71" s="111" t="str">
        <f>IF(AND('Mapa final'!$AB$48="Alta",'Mapa final'!$AD$48="Menor"),CONCATENATE("R16C",'Mapa final'!$R$48),"")</f>
        <v/>
      </c>
      <c r="P71" s="105" t="str">
        <f>IF(AND('Mapa final'!$AB$46="Alta",'Mapa final'!$AD$46="Moderado"),CONCATENATE("R16C",'Mapa final'!$R$46),"")</f>
        <v/>
      </c>
      <c r="Q71" s="42" t="str">
        <f>IF(AND('Mapa final'!$AB$47="Alta",'Mapa final'!$AD$47="Moderado"),CONCATENATE("R16C",'Mapa final'!$R$47),"")</f>
        <v/>
      </c>
      <c r="R71" s="106" t="str">
        <f>IF(AND('Mapa final'!$AB$48="Alta",'Mapa final'!$AD$48="Moderado"),CONCATENATE("R16C",'Mapa final'!$R$48),"")</f>
        <v/>
      </c>
      <c r="S71" s="105" t="str">
        <f>IF(AND('Mapa final'!$AB$46="Alta",'Mapa final'!$AD$46="Mayor"),CONCATENATE("R16C",'Mapa final'!$R$46),"")</f>
        <v/>
      </c>
      <c r="T71" s="42" t="str">
        <f>IF(AND('Mapa final'!$AB$47="Alta",'Mapa final'!$AD$47="Mayor"),CONCATENATE("R16C",'Mapa final'!$R$47),"")</f>
        <v/>
      </c>
      <c r="U71" s="106" t="str">
        <f>IF(AND('Mapa final'!$AB$48="Alta",'Mapa final'!$AD$48="Mayor"),CONCATENATE("R16C",'Mapa final'!$R$48),"")</f>
        <v/>
      </c>
      <c r="V71" s="43" t="str">
        <f>IF(AND('Mapa final'!$AB$46="Alta",'Mapa final'!$AD$46="Catastrófico"),CONCATENATE("R16C",'Mapa final'!$R$46),"")</f>
        <v/>
      </c>
      <c r="W71" s="44" t="str">
        <f>IF(AND('Mapa final'!$AB$47="Alta",'Mapa final'!$AD$47="Catastrófico"),CONCATENATE("R16C",'Mapa final'!$R$47),"")</f>
        <v/>
      </c>
      <c r="X71" s="100" t="str">
        <f>IF(AND('Mapa final'!$AB$48="Alta",'Mapa final'!$AD$48="Catastrófico"),CONCATENATE("R16C",'Mapa final'!$R$48),"")</f>
        <v/>
      </c>
      <c r="Y71" s="56"/>
      <c r="Z71" s="292"/>
      <c r="AA71" s="293"/>
      <c r="AB71" s="293"/>
      <c r="AC71" s="293"/>
      <c r="AD71" s="293"/>
      <c r="AE71" s="294"/>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row>
    <row r="72" spans="1:61" ht="15" customHeight="1" x14ac:dyDescent="0.35">
      <c r="A72" s="56"/>
      <c r="B72" s="307"/>
      <c r="C72" s="307"/>
      <c r="D72" s="308"/>
      <c r="E72" s="284"/>
      <c r="F72" s="297"/>
      <c r="G72" s="297"/>
      <c r="H72" s="297"/>
      <c r="I72" s="279"/>
      <c r="J72" s="49" t="str">
        <f>IF(AND('Mapa final'!$AB$49="Alta",'Mapa final'!$AD$49="Leve"),CONCATENATE("R17C",'Mapa final'!$R$49),"")</f>
        <v/>
      </c>
      <c r="K72" s="50" t="str">
        <f>IF(AND('Mapa final'!$AB$50="Alta",'Mapa final'!$AD$50="Leve"),CONCATENATE("R17C",'Mapa final'!$R$50),"")</f>
        <v/>
      </c>
      <c r="L72" s="111" t="str">
        <f>IF(AND('Mapa final'!$AB$51="Alta",'Mapa final'!$AD$51="Leve"),CONCATENATE("R17C",'Mapa final'!$R$51),"")</f>
        <v/>
      </c>
      <c r="M72" s="49" t="str">
        <f>IF(AND('Mapa final'!$AB$49="Alta",'Mapa final'!$AD$49="Menor"),CONCATENATE("R17C",'Mapa final'!$R$49),"")</f>
        <v/>
      </c>
      <c r="N72" s="50" t="str">
        <f>IF(AND('Mapa final'!$AB$50="Alta",'Mapa final'!$AD$50="Menor"),CONCATENATE("R17C",'Mapa final'!$R$50),"")</f>
        <v/>
      </c>
      <c r="O72" s="111" t="str">
        <f>IF(AND('Mapa final'!$AB$51="Alta",'Mapa final'!$AD$51="Menor"),CONCATENATE("R17C",'Mapa final'!$R$51),"")</f>
        <v/>
      </c>
      <c r="P72" s="105" t="str">
        <f>IF(AND('Mapa final'!$AB$49="Alta",'Mapa final'!$AD$49="Moderado"),CONCATENATE("R17C",'Mapa final'!$R$49),"")</f>
        <v/>
      </c>
      <c r="Q72" s="42" t="str">
        <f>IF(AND('Mapa final'!$AB$50="Alta",'Mapa final'!$AD$50="Moderado"),CONCATENATE("R17C",'Mapa final'!$R$50),"")</f>
        <v/>
      </c>
      <c r="R72" s="106" t="str">
        <f>IF(AND('Mapa final'!$AB$51="Alta",'Mapa final'!$AD$51="Moderado"),CONCATENATE("R17C",'Mapa final'!$R$51),"")</f>
        <v/>
      </c>
      <c r="S72" s="105" t="str">
        <f>IF(AND('Mapa final'!$AB$49="Alta",'Mapa final'!$AD$49="Mayor"),CONCATENATE("R17C",'Mapa final'!$R$49),"")</f>
        <v/>
      </c>
      <c r="T72" s="42" t="str">
        <f>IF(AND('Mapa final'!$AB$50="Alta",'Mapa final'!$AD$50="Mayor"),CONCATENATE("R17C",'Mapa final'!$R$50),"")</f>
        <v/>
      </c>
      <c r="U72" s="106" t="str">
        <f>IF(AND('Mapa final'!$AB$51="Alta",'Mapa final'!$AD$51="Mayor"),CONCATENATE("R17C",'Mapa final'!$R$51),"")</f>
        <v/>
      </c>
      <c r="V72" s="43" t="str">
        <f>IF(AND('Mapa final'!$AB$49="Alta",'Mapa final'!$AD$49="Catastrófico"),CONCATENATE("R17C",'Mapa final'!$R$49),"")</f>
        <v/>
      </c>
      <c r="W72" s="44" t="str">
        <f>IF(AND('Mapa final'!$AB$50="Alta",'Mapa final'!$AD$50="Catastrófico"),CONCATENATE("R17C",'Mapa final'!$R$50),"")</f>
        <v/>
      </c>
      <c r="X72" s="100" t="str">
        <f>IF(AND('Mapa final'!$AB$51="Alta",'Mapa final'!$AD$51="Catastrófico"),CONCATENATE("R17C",'Mapa final'!$R$51),"")</f>
        <v/>
      </c>
      <c r="Y72" s="56"/>
      <c r="Z72" s="292"/>
      <c r="AA72" s="293"/>
      <c r="AB72" s="293"/>
      <c r="AC72" s="293"/>
      <c r="AD72" s="293"/>
      <c r="AE72" s="294"/>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row>
    <row r="73" spans="1:61" ht="15" customHeight="1" x14ac:dyDescent="0.35">
      <c r="A73" s="56"/>
      <c r="B73" s="307"/>
      <c r="C73" s="307"/>
      <c r="D73" s="308"/>
      <c r="E73" s="284"/>
      <c r="F73" s="297"/>
      <c r="G73" s="297"/>
      <c r="H73" s="297"/>
      <c r="I73" s="279"/>
      <c r="J73" s="49" t="str">
        <f>IF(AND('Mapa final'!$AB$52="Alta",'Mapa final'!$AD$52="Leve"),CONCATENATE("R18C",'Mapa final'!$R$52),"")</f>
        <v/>
      </c>
      <c r="K73" s="50" t="str">
        <f>IF(AND('Mapa final'!$AB$53="Alta",'Mapa final'!$AD$53="Leve"),CONCATENATE("R18C",'Mapa final'!$R$53),"")</f>
        <v/>
      </c>
      <c r="L73" s="111" t="str">
        <f>IF(AND('Mapa final'!$AB$54="Alta",'Mapa final'!$AD$54="Leve"),CONCATENATE("R18C",'Mapa final'!$R$54),"")</f>
        <v/>
      </c>
      <c r="M73" s="49" t="str">
        <f>IF(AND('Mapa final'!$AB$52="Alta",'Mapa final'!$AD$52="Menor"),CONCATENATE("R18C",'Mapa final'!$R$52),"")</f>
        <v/>
      </c>
      <c r="N73" s="50" t="str">
        <f>IF(AND('Mapa final'!$AB$53="Alta",'Mapa final'!$AD$53="Menor"),CONCATENATE("R18C",'Mapa final'!$R$53),"")</f>
        <v/>
      </c>
      <c r="O73" s="111" t="str">
        <f>IF(AND('Mapa final'!$AB$54="Alta",'Mapa final'!$AD$54="Menor"),CONCATENATE("R18C",'Mapa final'!$R$54),"")</f>
        <v/>
      </c>
      <c r="P73" s="105" t="str">
        <f>IF(AND('Mapa final'!$AB$52="Alta",'Mapa final'!$AD$52="Moderado"),CONCATENATE("R18C",'Mapa final'!$R$52),"")</f>
        <v/>
      </c>
      <c r="Q73" s="42" t="str">
        <f>IF(AND('Mapa final'!$AB$53="Alta",'Mapa final'!$AD$53="Moderado"),CONCATENATE("R18C",'Mapa final'!$R$53),"")</f>
        <v/>
      </c>
      <c r="R73" s="106" t="str">
        <f>IF(AND('Mapa final'!$AB$54="Alta",'Mapa final'!$AD$54="Moderado"),CONCATENATE("R18C",'Mapa final'!$R$54),"")</f>
        <v/>
      </c>
      <c r="S73" s="105" t="str">
        <f>IF(AND('Mapa final'!$AB$52="Alta",'Mapa final'!$AD$52="Mayor"),CONCATENATE("R18C",'Mapa final'!$R$52),"")</f>
        <v/>
      </c>
      <c r="T73" s="42" t="str">
        <f>IF(AND('Mapa final'!$AB$53="Alta",'Mapa final'!$AD$53="Mayor"),CONCATENATE("R18C",'Mapa final'!$R$53),"")</f>
        <v/>
      </c>
      <c r="U73" s="106" t="str">
        <f>IF(AND('Mapa final'!$AB$54="Alta",'Mapa final'!$AD$54="Mayor"),CONCATENATE("R18C",'Mapa final'!$R$54),"")</f>
        <v/>
      </c>
      <c r="V73" s="43" t="str">
        <f>IF(AND('Mapa final'!$AB$52="Alta",'Mapa final'!$AD$52="Catastrófico"),CONCATENATE("R18C",'Mapa final'!$R$52),"")</f>
        <v/>
      </c>
      <c r="W73" s="44" t="str">
        <f>IF(AND('Mapa final'!$AB$53="Alta",'Mapa final'!$AD$53="Catastrófico"),CONCATENATE("R18C",'Mapa final'!$R$53),"")</f>
        <v/>
      </c>
      <c r="X73" s="100" t="str">
        <f>IF(AND('Mapa final'!$AB$54="Alta",'Mapa final'!$AD$54="Catastrófico"),CONCATENATE("R18C",'Mapa final'!$R$54),"")</f>
        <v/>
      </c>
      <c r="Y73" s="56"/>
      <c r="Z73" s="292"/>
      <c r="AA73" s="293"/>
      <c r="AB73" s="293"/>
      <c r="AC73" s="293"/>
      <c r="AD73" s="293"/>
      <c r="AE73" s="294"/>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row>
    <row r="74" spans="1:61" ht="15" customHeight="1" x14ac:dyDescent="0.35">
      <c r="A74" s="56"/>
      <c r="B74" s="307"/>
      <c r="C74" s="307"/>
      <c r="D74" s="308"/>
      <c r="E74" s="284"/>
      <c r="F74" s="297"/>
      <c r="G74" s="297"/>
      <c r="H74" s="297"/>
      <c r="I74" s="279"/>
      <c r="J74" s="49" t="str">
        <f>IF(AND('Mapa final'!$AB$55="Alta",'Mapa final'!$AD$55="Leve"),CONCATENATE("R19C",'Mapa final'!$R$55),"")</f>
        <v/>
      </c>
      <c r="K74" s="50" t="str">
        <f>IF(AND('Mapa final'!$AB$56="Alta",'Mapa final'!$AD$56="Leve"),CONCATENATE("R19C",'Mapa final'!$R$56),"")</f>
        <v/>
      </c>
      <c r="L74" s="111" t="str">
        <f>IF(AND('Mapa final'!$AB$57="Alta",'Mapa final'!$AD$57="Leve"),CONCATENATE("R19C",'Mapa final'!$R$57),"")</f>
        <v/>
      </c>
      <c r="M74" s="49" t="str">
        <f>IF(AND('Mapa final'!$AB$55="Alta",'Mapa final'!$AD$55="Menor"),CONCATENATE("R19C",'Mapa final'!$R$55),"")</f>
        <v/>
      </c>
      <c r="N74" s="50" t="str">
        <f>IF(AND('Mapa final'!$AB$56="Alta",'Mapa final'!$AD$56="Menor"),CONCATENATE("R19C",'Mapa final'!$R$56),"")</f>
        <v/>
      </c>
      <c r="O74" s="111" t="str">
        <f>IF(AND('Mapa final'!$AB$57="Alta",'Mapa final'!$AD$57="Menor"),CONCATENATE("R19C",'Mapa final'!$R$57),"")</f>
        <v/>
      </c>
      <c r="P74" s="105" t="str">
        <f>IF(AND('Mapa final'!$AB$55="Alta",'Mapa final'!$AD$55="Moderado"),CONCATENATE("R19C",'Mapa final'!$R$55),"")</f>
        <v/>
      </c>
      <c r="Q74" s="42" t="str">
        <f>IF(AND('Mapa final'!$AB$56="Alta",'Mapa final'!$AD$56="Moderado"),CONCATENATE("R19C",'Mapa final'!$R$56),"")</f>
        <v/>
      </c>
      <c r="R74" s="106" t="str">
        <f>IF(AND('Mapa final'!$AB$57="Alta",'Mapa final'!$AD$57="Moderado"),CONCATENATE("R19C",'Mapa final'!$R$57),"")</f>
        <v/>
      </c>
      <c r="S74" s="105" t="str">
        <f>IF(AND('Mapa final'!$AB$55="Alta",'Mapa final'!$AD$55="Mayor"),CONCATENATE("R19C",'Mapa final'!$R$55),"")</f>
        <v/>
      </c>
      <c r="T74" s="42" t="str">
        <f>IF(AND('Mapa final'!$AB$56="Alta",'Mapa final'!$AD$56="Mayor"),CONCATENATE("R19C",'Mapa final'!$R$56),"")</f>
        <v/>
      </c>
      <c r="U74" s="106" t="str">
        <f>IF(AND('Mapa final'!$AB$57="Alta",'Mapa final'!$AD$57="Mayor"),CONCATENATE("R19C",'Mapa final'!$R$57),"")</f>
        <v/>
      </c>
      <c r="V74" s="43" t="str">
        <f>IF(AND('Mapa final'!$AB$55="Alta",'Mapa final'!$AD$55="Catastrófico"),CONCATENATE("R19C",'Mapa final'!$R$55),"")</f>
        <v/>
      </c>
      <c r="W74" s="44" t="str">
        <f>IF(AND('Mapa final'!$AB$56="Alta",'Mapa final'!$AD$56="Catastrófico"),CONCATENATE("R19C",'Mapa final'!$R$56),"")</f>
        <v/>
      </c>
      <c r="X74" s="100" t="str">
        <f>IF(AND('Mapa final'!$AB$57="Alta",'Mapa final'!$AD$57="Catastrófico"),CONCATENATE("R19C",'Mapa final'!$R$57),"")</f>
        <v/>
      </c>
      <c r="Y74" s="56"/>
      <c r="Z74" s="292"/>
      <c r="AA74" s="293"/>
      <c r="AB74" s="293"/>
      <c r="AC74" s="293"/>
      <c r="AD74" s="293"/>
      <c r="AE74" s="294"/>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row>
    <row r="75" spans="1:61" ht="15" customHeight="1" x14ac:dyDescent="0.35">
      <c r="A75" s="56"/>
      <c r="B75" s="307"/>
      <c r="C75" s="307"/>
      <c r="D75" s="308"/>
      <c r="E75" s="284"/>
      <c r="F75" s="297"/>
      <c r="G75" s="297"/>
      <c r="H75" s="297"/>
      <c r="I75" s="279"/>
      <c r="J75" s="49" t="str">
        <f>IF(AND('Mapa final'!$AB$58="Alta",'Mapa final'!$AD$58="Leve"),CONCATENATE("R20C",'Mapa final'!$R$58),"")</f>
        <v/>
      </c>
      <c r="K75" s="50" t="str">
        <f>IF(AND('Mapa final'!$AB$59="Alta",'Mapa final'!$AD$59="Leve"),CONCATENATE("R20C",'Mapa final'!$R$59),"")</f>
        <v/>
      </c>
      <c r="L75" s="111" t="str">
        <f>IF(AND('Mapa final'!$AB$60="Alta",'Mapa final'!$AD$60="Leve"),CONCATENATE("R20C",'Mapa final'!$R$60),"")</f>
        <v/>
      </c>
      <c r="M75" s="49" t="str">
        <f>IF(AND('Mapa final'!$AB$58="Alta",'Mapa final'!$AD$58="Menor"),CONCATENATE("R20C",'Mapa final'!$R$58),"")</f>
        <v/>
      </c>
      <c r="N75" s="50" t="str">
        <f>IF(AND('Mapa final'!$AB$59="Alta",'Mapa final'!$AD$59="Menor"),CONCATENATE("R20C",'Mapa final'!$R$59),"")</f>
        <v/>
      </c>
      <c r="O75" s="111" t="str">
        <f>IF(AND('Mapa final'!$AB$60="Alta",'Mapa final'!$AD$60="Menor"),CONCATENATE("R20C",'Mapa final'!$R$60),"")</f>
        <v/>
      </c>
      <c r="P75" s="105" t="str">
        <f>IF(AND('Mapa final'!$AB$58="Alta",'Mapa final'!$AD$58="Moderado"),CONCATENATE("R20C",'Mapa final'!$R$58),"")</f>
        <v/>
      </c>
      <c r="Q75" s="42" t="str">
        <f>IF(AND('Mapa final'!$AB$59="Alta",'Mapa final'!$AD$59="Moderado"),CONCATENATE("R20C",'Mapa final'!$R$59),"")</f>
        <v/>
      </c>
      <c r="R75" s="106" t="str">
        <f>IF(AND('Mapa final'!$AB$60="Alta",'Mapa final'!$AD$60="Moderado"),CONCATENATE("R20C",'Mapa final'!$R$60),"")</f>
        <v/>
      </c>
      <c r="S75" s="105" t="str">
        <f>IF(AND('Mapa final'!$AB$58="Alta",'Mapa final'!$AD$58="Mayor"),CONCATENATE("R20C",'Mapa final'!$R$58),"")</f>
        <v/>
      </c>
      <c r="T75" s="42" t="str">
        <f>IF(AND('Mapa final'!$AB$59="Alta",'Mapa final'!$AD$59="Mayor"),CONCATENATE("R20C",'Mapa final'!$R$59),"")</f>
        <v/>
      </c>
      <c r="U75" s="106" t="str">
        <f>IF(AND('Mapa final'!$AB$60="Alta",'Mapa final'!$AD$60="Mayor"),CONCATENATE("R20C",'Mapa final'!$R$60),"")</f>
        <v/>
      </c>
      <c r="V75" s="43" t="str">
        <f>IF(AND('Mapa final'!$AB$58="Alta",'Mapa final'!$AD$58="Catastrófico"),CONCATENATE("R20C",'Mapa final'!$R$58),"")</f>
        <v/>
      </c>
      <c r="W75" s="44" t="str">
        <f>IF(AND('Mapa final'!$AB$59="Alta",'Mapa final'!$AD$59="Catastrófico"),CONCATENATE("R20C",'Mapa final'!$R$59),"")</f>
        <v/>
      </c>
      <c r="X75" s="100" t="str">
        <f>IF(AND('Mapa final'!$AB$60="Alta",'Mapa final'!$AD$60="Catastrófico"),CONCATENATE("R20C",'Mapa final'!$R$60),"")</f>
        <v/>
      </c>
      <c r="Y75" s="56"/>
      <c r="Z75" s="292"/>
      <c r="AA75" s="293"/>
      <c r="AB75" s="293"/>
      <c r="AC75" s="293"/>
      <c r="AD75" s="293"/>
      <c r="AE75" s="294"/>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row>
    <row r="76" spans="1:61" ht="15" customHeight="1" x14ac:dyDescent="0.35">
      <c r="A76" s="56"/>
      <c r="B76" s="307"/>
      <c r="C76" s="307"/>
      <c r="D76" s="308"/>
      <c r="E76" s="284"/>
      <c r="F76" s="297"/>
      <c r="G76" s="297"/>
      <c r="H76" s="297"/>
      <c r="I76" s="279"/>
      <c r="J76" s="49" t="str">
        <f>IF(AND('Mapa final'!$AB$61="Alta",'Mapa final'!$AD$61="Leve"),CONCATENATE("R21C",'Mapa final'!$R$61),"")</f>
        <v/>
      </c>
      <c r="K76" s="50" t="str">
        <f>IF(AND('Mapa final'!$AB$62="Alta",'Mapa final'!$AD$62="Leve"),CONCATENATE("R21C",'Mapa final'!$R$62),"")</f>
        <v/>
      </c>
      <c r="L76" s="111" t="str">
        <f>IF(AND('Mapa final'!$AB$63="Alta",'Mapa final'!$AD$63="Leve"),CONCATENATE("R21C",'Mapa final'!$R$63),"")</f>
        <v/>
      </c>
      <c r="M76" s="49" t="str">
        <f>IF(AND('Mapa final'!$AB$61="Alta",'Mapa final'!$AD$61="Menor"),CONCATENATE("R21C",'Mapa final'!$R$61),"")</f>
        <v/>
      </c>
      <c r="N76" s="50" t="str">
        <f>IF(AND('Mapa final'!$AB$62="Alta",'Mapa final'!$AD$62="Menor"),CONCATENATE("R21C",'Mapa final'!$R$62),"")</f>
        <v/>
      </c>
      <c r="O76" s="111" t="str">
        <f>IF(AND('Mapa final'!$AB$63="Alta",'Mapa final'!$AD$63="Menor"),CONCATENATE("R21C",'Mapa final'!$R$63),"")</f>
        <v/>
      </c>
      <c r="P76" s="105" t="str">
        <f>IF(AND('Mapa final'!$AB$61="Alta",'Mapa final'!$AD$61="Moderado"),CONCATENATE("R21C",'Mapa final'!$R$61),"")</f>
        <v/>
      </c>
      <c r="Q76" s="42" t="str">
        <f>IF(AND('Mapa final'!$AB$62="Alta",'Mapa final'!$AD$62="Moderado"),CONCATENATE("R21C",'Mapa final'!$R$62),"")</f>
        <v/>
      </c>
      <c r="R76" s="106" t="str">
        <f>IF(AND('Mapa final'!$AB$63="Alta",'Mapa final'!$AD$63="Moderado"),CONCATENATE("R21C",'Mapa final'!$R$63),"")</f>
        <v/>
      </c>
      <c r="S76" s="105" t="str">
        <f>IF(AND('Mapa final'!$AB$61="Alta",'Mapa final'!$AD$61="Mayor"),CONCATENATE("R21C",'Mapa final'!$R$61),"")</f>
        <v/>
      </c>
      <c r="T76" s="42" t="str">
        <f>IF(AND('Mapa final'!$AB$62="Alta",'Mapa final'!$AD$62="Mayor"),CONCATENATE("R21C",'Mapa final'!$R$62),"")</f>
        <v/>
      </c>
      <c r="U76" s="106" t="str">
        <f>IF(AND('Mapa final'!$AB$63="Alta",'Mapa final'!$AD$63="Mayor"),CONCATENATE("R21C",'Mapa final'!$R$63),"")</f>
        <v/>
      </c>
      <c r="V76" s="43" t="str">
        <f>IF(AND('Mapa final'!$AB$61="Alta",'Mapa final'!$AD$61="Catastrófico"),CONCATENATE("R21C",'Mapa final'!$R$61),"")</f>
        <v/>
      </c>
      <c r="W76" s="44" t="str">
        <f>IF(AND('Mapa final'!$AB$62="Alta",'Mapa final'!$AD$62="Catastrófico"),CONCATENATE("R21C",'Mapa final'!$R$62),"")</f>
        <v/>
      </c>
      <c r="X76" s="100" t="str">
        <f>IF(AND('Mapa final'!$AB$63="Alta",'Mapa final'!$AD$63="Catastrófico"),CONCATENATE("R21C",'Mapa final'!$R$63),"")</f>
        <v/>
      </c>
      <c r="Y76" s="56"/>
      <c r="Z76" s="292"/>
      <c r="AA76" s="293"/>
      <c r="AB76" s="293"/>
      <c r="AC76" s="293"/>
      <c r="AD76" s="293"/>
      <c r="AE76" s="294"/>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row>
    <row r="77" spans="1:61" ht="15" customHeight="1" x14ac:dyDescent="0.35">
      <c r="A77" s="56"/>
      <c r="B77" s="307"/>
      <c r="C77" s="307"/>
      <c r="D77" s="308"/>
      <c r="E77" s="284"/>
      <c r="F77" s="297"/>
      <c r="G77" s="297"/>
      <c r="H77" s="297"/>
      <c r="I77" s="279"/>
      <c r="J77" s="49" t="str">
        <f>IF(AND('Mapa final'!$AB$64="Alta",'Mapa final'!$AD$64="Leve"),CONCATENATE("R22C",'Mapa final'!$R$64),"")</f>
        <v/>
      </c>
      <c r="K77" s="50" t="str">
        <f>IF(AND('Mapa final'!$AB$65="Alta",'Mapa final'!$AD$65="Leve"),CONCATENATE("R22C",'Mapa final'!$R$65),"")</f>
        <v/>
      </c>
      <c r="L77" s="111" t="str">
        <f>IF(AND('Mapa final'!$AB$66="Alta",'Mapa final'!$AD$66="Leve"),CONCATENATE("R22C",'Mapa final'!$R$66),"")</f>
        <v/>
      </c>
      <c r="M77" s="49" t="str">
        <f>IF(AND('Mapa final'!$AB$64="Alta",'Mapa final'!$AD$64="Menor"),CONCATENATE("R22C",'Mapa final'!$R$64),"")</f>
        <v/>
      </c>
      <c r="N77" s="50" t="str">
        <f>IF(AND('Mapa final'!$AB$65="Alta",'Mapa final'!$AD$65="Menor"),CONCATENATE("R22C",'Mapa final'!$R$65),"")</f>
        <v/>
      </c>
      <c r="O77" s="111" t="str">
        <f>IF(AND('Mapa final'!$AB$66="Alta",'Mapa final'!$AD$66="Menor"),CONCATENATE("R22C",'Mapa final'!$R$66),"")</f>
        <v/>
      </c>
      <c r="P77" s="105" t="str">
        <f>IF(AND('Mapa final'!$AB$64="Alta",'Mapa final'!$AD$64="Moderado"),CONCATENATE("R22C",'Mapa final'!$R$64),"")</f>
        <v/>
      </c>
      <c r="Q77" s="42" t="str">
        <f>IF(AND('Mapa final'!$AB$65="Alta",'Mapa final'!$AD$65="Moderado"),CONCATENATE("R22C",'Mapa final'!$R$65),"")</f>
        <v/>
      </c>
      <c r="R77" s="106" t="str">
        <f>IF(AND('Mapa final'!$AB$66="Alta",'Mapa final'!$AD$66="Moderado"),CONCATENATE("R22C",'Mapa final'!$R$66),"")</f>
        <v/>
      </c>
      <c r="S77" s="105" t="str">
        <f>IF(AND('Mapa final'!$AB$64="Alta",'Mapa final'!$AD$64="Mayor"),CONCATENATE("R22C",'Mapa final'!$R$64),"")</f>
        <v/>
      </c>
      <c r="T77" s="42" t="str">
        <f>IF(AND('Mapa final'!$AB$65="Alta",'Mapa final'!$AD$65="Mayor"),CONCATENATE("R22C",'Mapa final'!$R$65),"")</f>
        <v/>
      </c>
      <c r="U77" s="106" t="str">
        <f>IF(AND('Mapa final'!$AB$66="Alta",'Mapa final'!$AD$66="Mayor"),CONCATENATE("R22C",'Mapa final'!$R$66),"")</f>
        <v/>
      </c>
      <c r="V77" s="43" t="str">
        <f>IF(AND('Mapa final'!$AB$64="Alta",'Mapa final'!$AD$64="Catastrófico"),CONCATENATE("R22C",'Mapa final'!$R$64),"")</f>
        <v/>
      </c>
      <c r="W77" s="44" t="str">
        <f>IF(AND('Mapa final'!$AB$65="Alta",'Mapa final'!$AD$65="Catastrófico"),CONCATENATE("R22C",'Mapa final'!$R$65),"")</f>
        <v/>
      </c>
      <c r="X77" s="100" t="str">
        <f>IF(AND('Mapa final'!$AB$66="Alta",'Mapa final'!$AD$66="Catastrófico"),CONCATENATE("R22C",'Mapa final'!$R$66),"")</f>
        <v/>
      </c>
      <c r="Y77" s="56"/>
      <c r="Z77" s="292"/>
      <c r="AA77" s="293"/>
      <c r="AB77" s="293"/>
      <c r="AC77" s="293"/>
      <c r="AD77" s="293"/>
      <c r="AE77" s="294"/>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row>
    <row r="78" spans="1:61" ht="15" customHeight="1" x14ac:dyDescent="0.35">
      <c r="A78" s="56"/>
      <c r="B78" s="307"/>
      <c r="C78" s="307"/>
      <c r="D78" s="308"/>
      <c r="E78" s="284"/>
      <c r="F78" s="297"/>
      <c r="G78" s="297"/>
      <c r="H78" s="297"/>
      <c r="I78" s="279"/>
      <c r="J78" s="49" t="str">
        <f>IF(AND('Mapa final'!$AB$70="Alta",'Mapa final'!$AD$70="Leve"),CONCATENATE("R23C",'Mapa final'!$R$70),"")</f>
        <v/>
      </c>
      <c r="K78" s="50" t="str">
        <f>IF(AND('Mapa final'!$AB$71="Alta",'Mapa final'!$AD$71="Leve"),CONCATENATE("R23C",'Mapa final'!$R$71),"")</f>
        <v/>
      </c>
      <c r="L78" s="111" t="str">
        <f>IF(AND('Mapa final'!$AB$72="Alta",'Mapa final'!$AD$72="Leve"),CONCATENATE("R23C",'Mapa final'!$R$72),"")</f>
        <v/>
      </c>
      <c r="M78" s="49" t="str">
        <f>IF(AND('Mapa final'!$AB$70="Alta",'Mapa final'!$AD$70="Menor"),CONCATENATE("R23C",'Mapa final'!$R$70),"")</f>
        <v/>
      </c>
      <c r="N78" s="50" t="str">
        <f>IF(AND('Mapa final'!$AB$71="Alta",'Mapa final'!$AD$71="Menor"),CONCATENATE("R23C",'Mapa final'!$R$71),"")</f>
        <v/>
      </c>
      <c r="O78" s="111" t="str">
        <f>IF(AND('Mapa final'!$AB$72="Alta",'Mapa final'!$AD$72="Menor"),CONCATENATE("R23C",'Mapa final'!$R$72),"")</f>
        <v/>
      </c>
      <c r="P78" s="105" t="str">
        <f>IF(AND('Mapa final'!$AB$70="Alta",'Mapa final'!$AD$70="Moderado"),CONCATENATE("R23C",'Mapa final'!$R$70),"")</f>
        <v/>
      </c>
      <c r="Q78" s="42" t="str">
        <f>IF(AND('Mapa final'!$AB$71="Alta",'Mapa final'!$AD$71="Moderado"),CONCATENATE("R23C",'Mapa final'!$R$71),"")</f>
        <v/>
      </c>
      <c r="R78" s="106" t="str">
        <f>IF(AND('Mapa final'!$AB$72="Alta",'Mapa final'!$AD$72="Moderado"),CONCATENATE("R23C",'Mapa final'!$R$72),"")</f>
        <v/>
      </c>
      <c r="S78" s="105" t="str">
        <f>IF(AND('Mapa final'!$AB$70="Alta",'Mapa final'!$AD$70="Mayor"),CONCATENATE("R23C",'Mapa final'!$R$70),"")</f>
        <v/>
      </c>
      <c r="T78" s="42" t="str">
        <f>IF(AND('Mapa final'!$AB$71="Alta",'Mapa final'!$AD$71="Mayor"),CONCATENATE("R23C",'Mapa final'!$R$71),"")</f>
        <v/>
      </c>
      <c r="U78" s="106" t="str">
        <f>IF(AND('Mapa final'!$AB$72="Alta",'Mapa final'!$AD$72="Mayor"),CONCATENATE("R23C",'Mapa final'!$R$72),"")</f>
        <v/>
      </c>
      <c r="V78" s="43" t="str">
        <f>IF(AND('Mapa final'!$AB$70="Alta",'Mapa final'!$AD$70="Catastrófico"),CONCATENATE("R23C",'Mapa final'!$R$70),"")</f>
        <v/>
      </c>
      <c r="W78" s="44" t="str">
        <f>IF(AND('Mapa final'!$AB$71="Alta",'Mapa final'!$AD$71="Catastrófico"),CONCATENATE("R23C",'Mapa final'!$R$71),"")</f>
        <v/>
      </c>
      <c r="X78" s="100" t="str">
        <f>IF(AND('Mapa final'!$AB$72="Alta",'Mapa final'!$AD$72="Catastrófico"),CONCATENATE("R23C",'Mapa final'!$R$72),"")</f>
        <v/>
      </c>
      <c r="Y78" s="56"/>
      <c r="Z78" s="292"/>
      <c r="AA78" s="293"/>
      <c r="AB78" s="293"/>
      <c r="AC78" s="293"/>
      <c r="AD78" s="293"/>
      <c r="AE78" s="294"/>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row>
    <row r="79" spans="1:61" ht="15" customHeight="1" x14ac:dyDescent="0.35">
      <c r="A79" s="56"/>
      <c r="B79" s="307"/>
      <c r="C79" s="307"/>
      <c r="D79" s="308"/>
      <c r="E79" s="284"/>
      <c r="F79" s="297"/>
      <c r="G79" s="297"/>
      <c r="H79" s="297"/>
      <c r="I79" s="279"/>
      <c r="J79" s="49" t="str">
        <f>IF(AND('Mapa final'!$AB$73="Alta",'Mapa final'!$AD$73="Leve"),CONCATENATE("R24C",'Mapa final'!$R$73),"")</f>
        <v/>
      </c>
      <c r="K79" s="50" t="str">
        <f>IF(AND('Mapa final'!$AB$74="Alta",'Mapa final'!$AD$74="Leve"),CONCATENATE("R24C",'Mapa final'!$R$74),"")</f>
        <v/>
      </c>
      <c r="L79" s="111" t="str">
        <f>IF(AND('Mapa final'!$AB$75="Alta",'Mapa final'!$AD$75="Leve"),CONCATENATE("R24C",'Mapa final'!$R$75),"")</f>
        <v/>
      </c>
      <c r="M79" s="49" t="str">
        <f>IF(AND('Mapa final'!$AB$73="Alta",'Mapa final'!$AD$73="Menor"),CONCATENATE("R24C",'Mapa final'!$R$73),"")</f>
        <v/>
      </c>
      <c r="N79" s="50" t="str">
        <f>IF(AND('Mapa final'!$AB$74="Alta",'Mapa final'!$AD$74="Menor"),CONCATENATE("R24C",'Mapa final'!$R$74),"")</f>
        <v/>
      </c>
      <c r="O79" s="111" t="str">
        <f>IF(AND('Mapa final'!$AB$75="Alta",'Mapa final'!$AD$75="Menor"),CONCATENATE("R24C",'Mapa final'!$R$75),"")</f>
        <v/>
      </c>
      <c r="P79" s="105" t="str">
        <f>IF(AND('Mapa final'!$AB$73="Alta",'Mapa final'!$AD$73="Moderado"),CONCATENATE("R24C",'Mapa final'!$R$73),"")</f>
        <v/>
      </c>
      <c r="Q79" s="42" t="str">
        <f>IF(AND('Mapa final'!$AB$74="Alta",'Mapa final'!$AD$74="Moderado"),CONCATENATE("R24C",'Mapa final'!$R$74),"")</f>
        <v/>
      </c>
      <c r="R79" s="106" t="str">
        <f>IF(AND('Mapa final'!$AB$75="Alta",'Mapa final'!$AD$75="Moderado"),CONCATENATE("R24C",'Mapa final'!$R$75),"")</f>
        <v/>
      </c>
      <c r="S79" s="105" t="str">
        <f>IF(AND('Mapa final'!$AB$73="Alta",'Mapa final'!$AD$73="Mayor"),CONCATENATE("R24C",'Mapa final'!$R$73),"")</f>
        <v/>
      </c>
      <c r="T79" s="42" t="str">
        <f>IF(AND('Mapa final'!$AB$74="Alta",'Mapa final'!$AD$74="Mayor"),CONCATENATE("R24C",'Mapa final'!$R$74),"")</f>
        <v/>
      </c>
      <c r="U79" s="106" t="str">
        <f>IF(AND('Mapa final'!$AB$75="Alta",'Mapa final'!$AD$75="Mayor"),CONCATENATE("R24C",'Mapa final'!$R$75),"")</f>
        <v/>
      </c>
      <c r="V79" s="43" t="str">
        <f>IF(AND('Mapa final'!$AB$73="Alta",'Mapa final'!$AD$73="Catastrófico"),CONCATENATE("R24C",'Mapa final'!$R$73),"")</f>
        <v/>
      </c>
      <c r="W79" s="44" t="str">
        <f>IF(AND('Mapa final'!$AB$74="Alta",'Mapa final'!$AD$74="Catastrófico"),CONCATENATE("R24C",'Mapa final'!$R$74),"")</f>
        <v/>
      </c>
      <c r="X79" s="100" t="str">
        <f>IF(AND('Mapa final'!$AB$75="Alta",'Mapa final'!$AD$75="Catastrófico"),CONCATENATE("R24C",'Mapa final'!$R$75),"")</f>
        <v/>
      </c>
      <c r="Y79" s="56"/>
      <c r="Z79" s="292"/>
      <c r="AA79" s="293"/>
      <c r="AB79" s="293"/>
      <c r="AC79" s="293"/>
      <c r="AD79" s="293"/>
      <c r="AE79" s="294"/>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row>
    <row r="80" spans="1:61" ht="15" customHeight="1" x14ac:dyDescent="0.35">
      <c r="A80" s="56"/>
      <c r="B80" s="307"/>
      <c r="C80" s="307"/>
      <c r="D80" s="308"/>
      <c r="E80" s="284"/>
      <c r="F80" s="297"/>
      <c r="G80" s="297"/>
      <c r="H80" s="297"/>
      <c r="I80" s="279"/>
      <c r="J80" s="49" t="str">
        <f>IF(AND('Mapa final'!$AB$76="Alta",'Mapa final'!$AD$76="Leve"),CONCATENATE("R25C",'Mapa final'!$R$76),"")</f>
        <v/>
      </c>
      <c r="K80" s="50" t="str">
        <f>IF(AND('Mapa final'!$AB$77="Alta",'Mapa final'!$AD$77="Leve"),CONCATENATE("R25C",'Mapa final'!$R$77),"")</f>
        <v/>
      </c>
      <c r="L80" s="111" t="str">
        <f>IF(AND('Mapa final'!$AB$78="Alta",'Mapa final'!$AD$78="Leve"),CONCATENATE("R25C",'Mapa final'!$R$78),"")</f>
        <v/>
      </c>
      <c r="M80" s="49" t="str">
        <f>IF(AND('Mapa final'!$AB$76="Alta",'Mapa final'!$AD$76="Menor"),CONCATENATE("R25C",'Mapa final'!$R$76),"")</f>
        <v/>
      </c>
      <c r="N80" s="50" t="str">
        <f>IF(AND('Mapa final'!$AB$77="Alta",'Mapa final'!$AD$77="Menor"),CONCATENATE("R25C",'Mapa final'!$R$77),"")</f>
        <v/>
      </c>
      <c r="O80" s="111" t="str">
        <f>IF(AND('Mapa final'!$AB$78="Alta",'Mapa final'!$AD$78="Menor"),CONCATENATE("R25C",'Mapa final'!$R$78),"")</f>
        <v/>
      </c>
      <c r="P80" s="105" t="str">
        <f>IF(AND('Mapa final'!$AB$76="Alta",'Mapa final'!$AD$76="Moderado"),CONCATENATE("R25C",'Mapa final'!$R$76),"")</f>
        <v/>
      </c>
      <c r="Q80" s="42" t="str">
        <f>IF(AND('Mapa final'!$AB$77="Alta",'Mapa final'!$AD$77="Moderado"),CONCATENATE("R25C",'Mapa final'!$R$77),"")</f>
        <v/>
      </c>
      <c r="R80" s="106" t="str">
        <f>IF(AND('Mapa final'!$AB$78="Alta",'Mapa final'!$AD$78="Moderado"),CONCATENATE("R25C",'Mapa final'!$R$78),"")</f>
        <v/>
      </c>
      <c r="S80" s="105" t="str">
        <f>IF(AND('Mapa final'!$AB$76="Alta",'Mapa final'!$AD$76="Mayor"),CONCATENATE("R25C",'Mapa final'!$R$76),"")</f>
        <v/>
      </c>
      <c r="T80" s="42" t="str">
        <f>IF(AND('Mapa final'!$AB$77="Alta",'Mapa final'!$AD$77="Mayor"),CONCATENATE("R25C",'Mapa final'!$R$77),"")</f>
        <v/>
      </c>
      <c r="U80" s="106" t="str">
        <f>IF(AND('Mapa final'!$AB$78="Alta",'Mapa final'!$AD$78="Mayor"),CONCATENATE("R25C",'Mapa final'!$R$78),"")</f>
        <v/>
      </c>
      <c r="V80" s="43" t="str">
        <f>IF(AND('Mapa final'!$AB$76="Alta",'Mapa final'!$AD$76="Catastrófico"),CONCATENATE("R25C",'Mapa final'!$R$76),"")</f>
        <v/>
      </c>
      <c r="W80" s="44" t="str">
        <f>IF(AND('Mapa final'!$AB$77="Alta",'Mapa final'!$AD$77="Catastrófico"),CONCATENATE("R25C",'Mapa final'!$R$77),"")</f>
        <v/>
      </c>
      <c r="X80" s="100" t="str">
        <f>IF(AND('Mapa final'!$AB$78="Alta",'Mapa final'!$AD$78="Catastrófico"),CONCATENATE("R25C",'Mapa final'!$R$78),"")</f>
        <v/>
      </c>
      <c r="Y80" s="56"/>
      <c r="Z80" s="292"/>
      <c r="AA80" s="293"/>
      <c r="AB80" s="293"/>
      <c r="AC80" s="293"/>
      <c r="AD80" s="293"/>
      <c r="AE80" s="294"/>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row>
    <row r="81" spans="1:61" ht="15" customHeight="1" x14ac:dyDescent="0.35">
      <c r="A81" s="56"/>
      <c r="B81" s="307"/>
      <c r="C81" s="307"/>
      <c r="D81" s="308"/>
      <c r="E81" s="284"/>
      <c r="F81" s="297"/>
      <c r="G81" s="297"/>
      <c r="H81" s="297"/>
      <c r="I81" s="279"/>
      <c r="J81" s="49" t="str">
        <f>IF(AND('Mapa final'!$AB$79="Alta",'Mapa final'!$AD$79="Leve"),CONCATENATE("R26C",'Mapa final'!$R$79),"")</f>
        <v/>
      </c>
      <c r="K81" s="50" t="str">
        <f>IF(AND('Mapa final'!$AB$80="Alta",'Mapa final'!$AD$80="Leve"),CONCATENATE("R26C",'Mapa final'!$R$80),"")</f>
        <v/>
      </c>
      <c r="L81" s="111" t="str">
        <f>IF(AND('Mapa final'!$AB$81="Alta",'Mapa final'!$AD$81="Leve"),CONCATENATE("R26C",'Mapa final'!$R$81),"")</f>
        <v/>
      </c>
      <c r="M81" s="49" t="str">
        <f>IF(AND('Mapa final'!$AB$79="Alta",'Mapa final'!$AD$79="Menor"),CONCATENATE("R26C",'Mapa final'!$R$79),"")</f>
        <v/>
      </c>
      <c r="N81" s="50" t="str">
        <f>IF(AND('Mapa final'!$AB$80="Alta",'Mapa final'!$AD$80="Menor"),CONCATENATE("R26C",'Mapa final'!$R$80),"")</f>
        <v/>
      </c>
      <c r="O81" s="111" t="str">
        <f>IF(AND('Mapa final'!$AB$81="Alta",'Mapa final'!$AD$81="Menor"),CONCATENATE("R26C",'Mapa final'!$R$81),"")</f>
        <v/>
      </c>
      <c r="P81" s="105" t="str">
        <f>IF(AND('Mapa final'!$AB$79="Alta",'Mapa final'!$AD$79="Moderado"),CONCATENATE("R26C",'Mapa final'!$R$79),"")</f>
        <v/>
      </c>
      <c r="Q81" s="42" t="str">
        <f>IF(AND('Mapa final'!$AB$80="Alta",'Mapa final'!$AD$80="Moderado"),CONCATENATE("R26C",'Mapa final'!$R$80),"")</f>
        <v/>
      </c>
      <c r="R81" s="106" t="str">
        <f>IF(AND('Mapa final'!$AB$81="Alta",'Mapa final'!$AD$81="Moderado"),CONCATENATE("R26C",'Mapa final'!$R$81),"")</f>
        <v/>
      </c>
      <c r="S81" s="105" t="str">
        <f>IF(AND('Mapa final'!$AB$79="Alta",'Mapa final'!$AD$79="Mayor"),CONCATENATE("R26C",'Mapa final'!$R$79),"")</f>
        <v/>
      </c>
      <c r="T81" s="42" t="str">
        <f>IF(AND('Mapa final'!$AB$80="Alta",'Mapa final'!$AD$80="Mayor"),CONCATENATE("R26C",'Mapa final'!$R$80),"")</f>
        <v/>
      </c>
      <c r="U81" s="106" t="str">
        <f>IF(AND('Mapa final'!$AB$81="Alta",'Mapa final'!$AD$81="Mayor"),CONCATENATE("R26C",'Mapa final'!$R$81),"")</f>
        <v/>
      </c>
      <c r="V81" s="43" t="str">
        <f>IF(AND('Mapa final'!$AB$79="Alta",'Mapa final'!$AD$79="Catastrófico"),CONCATENATE("R26C",'Mapa final'!$R$79),"")</f>
        <v/>
      </c>
      <c r="W81" s="44" t="str">
        <f>IF(AND('Mapa final'!$AB$80="Alta",'Mapa final'!$AD$80="Catastrófico"),CONCATENATE("R26C",'Mapa final'!$R$80),"")</f>
        <v/>
      </c>
      <c r="X81" s="100" t="str">
        <f>IF(AND('Mapa final'!$AB$81="Alta",'Mapa final'!$AD$81="Catastrófico"),CONCATENATE("R26C",'Mapa final'!$R$81),"")</f>
        <v/>
      </c>
      <c r="Y81" s="56"/>
      <c r="Z81" s="292"/>
      <c r="AA81" s="293"/>
      <c r="AB81" s="293"/>
      <c r="AC81" s="293"/>
      <c r="AD81" s="293"/>
      <c r="AE81" s="294"/>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row>
    <row r="82" spans="1:61" ht="15" customHeight="1" x14ac:dyDescent="0.35">
      <c r="A82" s="56"/>
      <c r="B82" s="307"/>
      <c r="C82" s="307"/>
      <c r="D82" s="308"/>
      <c r="E82" s="284"/>
      <c r="F82" s="297"/>
      <c r="G82" s="297"/>
      <c r="H82" s="297"/>
      <c r="I82" s="279"/>
      <c r="J82" s="49" t="str">
        <f>IF(AND('Mapa final'!$AB$82="Alta",'Mapa final'!$AD$82="Leve"),CONCATENATE("R27C",'Mapa final'!$R$82),"")</f>
        <v/>
      </c>
      <c r="K82" s="50" t="str">
        <f>IF(AND('Mapa final'!$AB$83="Alta",'Mapa final'!$AD$83="Leve"),CONCATENATE("R27C",'Mapa final'!$R$83),"")</f>
        <v/>
      </c>
      <c r="L82" s="111" t="str">
        <f>IF(AND('Mapa final'!$AB$84="Alta",'Mapa final'!$AD$84="Leve"),CONCATENATE("R27C",'Mapa final'!$R$84),"")</f>
        <v/>
      </c>
      <c r="M82" s="49" t="str">
        <f>IF(AND('Mapa final'!$AB$82="Alta",'Mapa final'!$AD$82="Menor"),CONCATENATE("R27C",'Mapa final'!$R$82),"")</f>
        <v/>
      </c>
      <c r="N82" s="50" t="str">
        <f>IF(AND('Mapa final'!$AB$83="Alta",'Mapa final'!$AD$83="Menor"),CONCATENATE("R27C",'Mapa final'!$R$83),"")</f>
        <v/>
      </c>
      <c r="O82" s="111" t="str">
        <f>IF(AND('Mapa final'!$AB$84="Alta",'Mapa final'!$AD$84="Menor"),CONCATENATE("R27C",'Mapa final'!$R$84),"")</f>
        <v/>
      </c>
      <c r="P82" s="105" t="str">
        <f>IF(AND('Mapa final'!$AB$82="Alta",'Mapa final'!$AD$82="Moderado"),CONCATENATE("R27C",'Mapa final'!$R$82),"")</f>
        <v/>
      </c>
      <c r="Q82" s="42" t="str">
        <f>IF(AND('Mapa final'!$AB$83="Alta",'Mapa final'!$AD$83="Moderado"),CONCATENATE("R27C",'Mapa final'!$R$83),"")</f>
        <v/>
      </c>
      <c r="R82" s="106" t="str">
        <f>IF(AND('Mapa final'!$AB$84="Alta",'Mapa final'!$AD$84="Moderado"),CONCATENATE("R27C",'Mapa final'!$R$84),"")</f>
        <v/>
      </c>
      <c r="S82" s="105" t="str">
        <f>IF(AND('Mapa final'!$AB$82="Alta",'Mapa final'!$AD$82="Mayor"),CONCATENATE("R27C",'Mapa final'!$R$82),"")</f>
        <v/>
      </c>
      <c r="T82" s="42" t="str">
        <f>IF(AND('Mapa final'!$AB$83="Alta",'Mapa final'!$AD$83="Mayor"),CONCATENATE("R27C",'Mapa final'!$R$83),"")</f>
        <v/>
      </c>
      <c r="U82" s="106" t="str">
        <f>IF(AND('Mapa final'!$AB$84="Alta",'Mapa final'!$AD$84="Mayor"),CONCATENATE("R27C",'Mapa final'!$R$84),"")</f>
        <v/>
      </c>
      <c r="V82" s="43" t="str">
        <f>IF(AND('Mapa final'!$AB$82="Alta",'Mapa final'!$AD$82="Catastrófico"),CONCATENATE("R27C",'Mapa final'!$R$82),"")</f>
        <v/>
      </c>
      <c r="W82" s="44" t="str">
        <f>IF(AND('Mapa final'!$AB$83="Alta",'Mapa final'!$AD$83="Catastrófico"),CONCATENATE("R27C",'Mapa final'!$R$83),"")</f>
        <v/>
      </c>
      <c r="X82" s="100" t="str">
        <f>IF(AND('Mapa final'!$AB$84="Alta",'Mapa final'!$AD$84="Catastrófico"),CONCATENATE("R27C",'Mapa final'!$R$84),"")</f>
        <v/>
      </c>
      <c r="Y82" s="56"/>
      <c r="Z82" s="292"/>
      <c r="AA82" s="293"/>
      <c r="AB82" s="293"/>
      <c r="AC82" s="293"/>
      <c r="AD82" s="293"/>
      <c r="AE82" s="294"/>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row>
    <row r="83" spans="1:61" ht="15" customHeight="1" x14ac:dyDescent="0.35">
      <c r="A83" s="56"/>
      <c r="B83" s="307"/>
      <c r="C83" s="307"/>
      <c r="D83" s="308"/>
      <c r="E83" s="284"/>
      <c r="F83" s="297"/>
      <c r="G83" s="297"/>
      <c r="H83" s="297"/>
      <c r="I83" s="279"/>
      <c r="J83" s="49" t="str">
        <f>IF(AND('Mapa final'!$AB$85="Alta",'Mapa final'!$AD$85="Leve"),CONCATENATE("R28C",'Mapa final'!$R$85),"")</f>
        <v/>
      </c>
      <c r="K83" s="50" t="str">
        <f>IF(AND('Mapa final'!$AB$86="Alta",'Mapa final'!$AD$86="Leve"),CONCATENATE("R28C",'Mapa final'!$R$86),"")</f>
        <v/>
      </c>
      <c r="L83" s="111" t="str">
        <f>IF(AND('Mapa final'!$AB$87="Alta",'Mapa final'!$AD$87="Leve"),CONCATENATE("R28C",'Mapa final'!$R$87),"")</f>
        <v/>
      </c>
      <c r="M83" s="49" t="str">
        <f>IF(AND('Mapa final'!$AB$85="Alta",'Mapa final'!$AD$85="Menor"),CONCATENATE("R28C",'Mapa final'!$R$85),"")</f>
        <v/>
      </c>
      <c r="N83" s="50" t="str">
        <f>IF(AND('Mapa final'!$AB$86="Alta",'Mapa final'!$AD$86="Menor"),CONCATENATE("R28C",'Mapa final'!$R$86),"")</f>
        <v/>
      </c>
      <c r="O83" s="111" t="str">
        <f>IF(AND('Mapa final'!$AB$87="Alta",'Mapa final'!$AD$87="Menor"),CONCATENATE("R28C",'Mapa final'!$R$87),"")</f>
        <v/>
      </c>
      <c r="P83" s="105" t="str">
        <f>IF(AND('Mapa final'!$AB$85="Alta",'Mapa final'!$AD$85="Moderado"),CONCATENATE("R28C",'Mapa final'!$R$85),"")</f>
        <v/>
      </c>
      <c r="Q83" s="42" t="str">
        <f>IF(AND('Mapa final'!$AB$86="Alta",'Mapa final'!$AD$86="Moderado"),CONCATENATE("R28C",'Mapa final'!$R$86),"")</f>
        <v/>
      </c>
      <c r="R83" s="106" t="str">
        <f>IF(AND('Mapa final'!$AB$87="Alta",'Mapa final'!$AD$87="Moderado"),CONCATENATE("R28C",'Mapa final'!$R$87),"")</f>
        <v/>
      </c>
      <c r="S83" s="105" t="str">
        <f>IF(AND('Mapa final'!$AB$85="Alta",'Mapa final'!$AD$85="Mayor"),CONCATENATE("R28C",'Mapa final'!$R$85),"")</f>
        <v/>
      </c>
      <c r="T83" s="42" t="str">
        <f>IF(AND('Mapa final'!$AB$86="Alta",'Mapa final'!$AD$86="Mayor"),CONCATENATE("R28C",'Mapa final'!$R$86),"")</f>
        <v/>
      </c>
      <c r="U83" s="106" t="str">
        <f>IF(AND('Mapa final'!$AB$87="Alta",'Mapa final'!$AD$87="Mayor"),CONCATENATE("R28C",'Mapa final'!$R$87),"")</f>
        <v/>
      </c>
      <c r="V83" s="43" t="str">
        <f>IF(AND('Mapa final'!$AB$85="Alta",'Mapa final'!$AD$85="Catastrófico"),CONCATENATE("R28C",'Mapa final'!$R$85),"")</f>
        <v/>
      </c>
      <c r="W83" s="44" t="str">
        <f>IF(AND('Mapa final'!$AB$86="Alta",'Mapa final'!$AD$86="Catastrófico"),CONCATENATE("R28C",'Mapa final'!$R$86),"")</f>
        <v/>
      </c>
      <c r="X83" s="100" t="str">
        <f>IF(AND('Mapa final'!$AB$87="Alta",'Mapa final'!$AD$87="Catastrófico"),CONCATENATE("R28C",'Mapa final'!$R$87),"")</f>
        <v/>
      </c>
      <c r="Y83" s="56"/>
      <c r="Z83" s="292"/>
      <c r="AA83" s="293"/>
      <c r="AB83" s="293"/>
      <c r="AC83" s="293"/>
      <c r="AD83" s="293"/>
      <c r="AE83" s="294"/>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row>
    <row r="84" spans="1:61" ht="15" customHeight="1" x14ac:dyDescent="0.35">
      <c r="A84" s="56"/>
      <c r="B84" s="307"/>
      <c r="C84" s="307"/>
      <c r="D84" s="308"/>
      <c r="E84" s="284"/>
      <c r="F84" s="297"/>
      <c r="G84" s="297"/>
      <c r="H84" s="297"/>
      <c r="I84" s="279"/>
      <c r="J84" s="49" t="str">
        <f>IF(AND('Mapa final'!$AB$88="Alta",'Mapa final'!$AD$88="Leve"),CONCATENATE("R29C",'Mapa final'!$R$88),"")</f>
        <v/>
      </c>
      <c r="K84" s="50" t="str">
        <f>IF(AND('Mapa final'!$AB$89="Alta",'Mapa final'!$AD$89="Leve"),CONCATENATE("R29C",'Mapa final'!$R$89),"")</f>
        <v/>
      </c>
      <c r="L84" s="111" t="str">
        <f>IF(AND('Mapa final'!$AB$90="Alta",'Mapa final'!$AD$90="Leve"),CONCATENATE("R29C",'Mapa final'!$R$90),"")</f>
        <v/>
      </c>
      <c r="M84" s="49" t="str">
        <f>IF(AND('Mapa final'!$AB$88="Alta",'Mapa final'!$AD$88="Menor"),CONCATENATE("R29C",'Mapa final'!$R$88),"")</f>
        <v/>
      </c>
      <c r="N84" s="50" t="str">
        <f>IF(AND('Mapa final'!$AB$89="Alta",'Mapa final'!$AD$89="Menor"),CONCATENATE("R29C",'Mapa final'!$R$89),"")</f>
        <v/>
      </c>
      <c r="O84" s="111" t="str">
        <f>IF(AND('Mapa final'!$AB$90="Alta",'Mapa final'!$AD$90="Menor"),CONCATENATE("R29C",'Mapa final'!$R$90),"")</f>
        <v/>
      </c>
      <c r="P84" s="105" t="str">
        <f>IF(AND('Mapa final'!$AB$88="Alta",'Mapa final'!$AD$88="Moderado"),CONCATENATE("R29C",'Mapa final'!$R$88),"")</f>
        <v/>
      </c>
      <c r="Q84" s="42" t="str">
        <f>IF(AND('Mapa final'!$AB$89="Alta",'Mapa final'!$AD$89="Moderado"),CONCATENATE("R29C",'Mapa final'!$R$89),"")</f>
        <v/>
      </c>
      <c r="R84" s="106" t="str">
        <f>IF(AND('Mapa final'!$AB$90="Alta",'Mapa final'!$AD$90="Moderado"),CONCATENATE("R29C",'Mapa final'!$R$90),"")</f>
        <v/>
      </c>
      <c r="S84" s="105" t="str">
        <f>IF(AND('Mapa final'!$AB$88="Alta",'Mapa final'!$AD$88="Mayor"),CONCATENATE("R29C",'Mapa final'!$R$88),"")</f>
        <v/>
      </c>
      <c r="T84" s="42" t="str">
        <f>IF(AND('Mapa final'!$AB$89="Alta",'Mapa final'!$AD$89="Mayor"),CONCATENATE("R29C",'Mapa final'!$R$89),"")</f>
        <v/>
      </c>
      <c r="U84" s="106" t="str">
        <f>IF(AND('Mapa final'!$AB$90="Alta",'Mapa final'!$AD$90="Mayor"),CONCATENATE("R29C",'Mapa final'!$R$90),"")</f>
        <v/>
      </c>
      <c r="V84" s="43" t="str">
        <f>IF(AND('Mapa final'!$AB$88="Alta",'Mapa final'!$AD$88="Catastrófico"),CONCATENATE("R29C",'Mapa final'!$R$88),"")</f>
        <v/>
      </c>
      <c r="W84" s="44" t="str">
        <f>IF(AND('Mapa final'!$AB$89="Alta",'Mapa final'!$AD$89="Catastrófico"),CONCATENATE("R29C",'Mapa final'!$R$89),"")</f>
        <v/>
      </c>
      <c r="X84" s="100" t="str">
        <f>IF(AND('Mapa final'!$AB$90="Alta",'Mapa final'!$AD$90="Catastrófico"),CONCATENATE("R29C",'Mapa final'!$R$90),"")</f>
        <v/>
      </c>
      <c r="Y84" s="56"/>
      <c r="Z84" s="292"/>
      <c r="AA84" s="293"/>
      <c r="AB84" s="293"/>
      <c r="AC84" s="293"/>
      <c r="AD84" s="293"/>
      <c r="AE84" s="294"/>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row>
    <row r="85" spans="1:61" ht="15" customHeight="1" x14ac:dyDescent="0.35">
      <c r="A85" s="56"/>
      <c r="B85" s="307"/>
      <c r="C85" s="307"/>
      <c r="D85" s="308"/>
      <c r="E85" s="284"/>
      <c r="F85" s="297"/>
      <c r="G85" s="297"/>
      <c r="H85" s="297"/>
      <c r="I85" s="279"/>
      <c r="J85" s="49" t="str">
        <f>IF(AND('Mapa final'!$AB$91="Alta",'Mapa final'!$AD$91="Leve"),CONCATENATE("R30C",'Mapa final'!$R$91),"")</f>
        <v/>
      </c>
      <c r="K85" s="50" t="str">
        <f>IF(AND('Mapa final'!$AB$92="Alta",'Mapa final'!$AD$92="Leve"),CONCATENATE("R30C",'Mapa final'!$R$92),"")</f>
        <v/>
      </c>
      <c r="L85" s="111" t="str">
        <f>IF(AND('Mapa final'!$AB$93="Alta",'Mapa final'!$AD$93="Leve"),CONCATENATE("R30C",'Mapa final'!$R$93),"")</f>
        <v/>
      </c>
      <c r="M85" s="49" t="str">
        <f>IF(AND('Mapa final'!$AB$91="Alta",'Mapa final'!$AD$91="Menor"),CONCATENATE("R30C",'Mapa final'!$R$91),"")</f>
        <v/>
      </c>
      <c r="N85" s="50" t="str">
        <f>IF(AND('Mapa final'!$AB$92="Alta",'Mapa final'!$AD$92="Menor"),CONCATENATE("R30C",'Mapa final'!$R$92),"")</f>
        <v/>
      </c>
      <c r="O85" s="111" t="str">
        <f>IF(AND('Mapa final'!$AB$93="Alta",'Mapa final'!$AD$93="Menor"),CONCATENATE("R30C",'Mapa final'!$R$93),"")</f>
        <v/>
      </c>
      <c r="P85" s="105" t="str">
        <f>IF(AND('Mapa final'!$AB$91="Alta",'Mapa final'!$AD$91="Moderado"),CONCATENATE("R30C",'Mapa final'!$R$91),"")</f>
        <v/>
      </c>
      <c r="Q85" s="42" t="str">
        <f>IF(AND('Mapa final'!$AB$92="Alta",'Mapa final'!$AD$92="Moderado"),CONCATENATE("R30C",'Mapa final'!$R$92),"")</f>
        <v/>
      </c>
      <c r="R85" s="106" t="str">
        <f>IF(AND('Mapa final'!$AB$93="Alta",'Mapa final'!$AD$93="Moderado"),CONCATENATE("R30C",'Mapa final'!$R$93),"")</f>
        <v/>
      </c>
      <c r="S85" s="105" t="str">
        <f>IF(AND('Mapa final'!$AB$91="Alta",'Mapa final'!$AD$91="Mayor"),CONCATENATE("R30C",'Mapa final'!$R$91),"")</f>
        <v/>
      </c>
      <c r="T85" s="42" t="str">
        <f>IF(AND('Mapa final'!$AB$92="Alta",'Mapa final'!$AD$92="Mayor"),CONCATENATE("R30C",'Mapa final'!$R$92),"")</f>
        <v/>
      </c>
      <c r="U85" s="106" t="str">
        <f>IF(AND('Mapa final'!$AB$93="Alta",'Mapa final'!$AD$93="Mayor"),CONCATENATE("R30C",'Mapa final'!$R$93),"")</f>
        <v/>
      </c>
      <c r="V85" s="43" t="str">
        <f>IF(AND('Mapa final'!$AB$91="Alta",'Mapa final'!$AD$91="Catastrófico"),CONCATENATE("R30C",'Mapa final'!$R$91),"")</f>
        <v/>
      </c>
      <c r="W85" s="44" t="str">
        <f>IF(AND('Mapa final'!$AB$92="Alta",'Mapa final'!$AD$92="Catastrófico"),CONCATENATE("R30C",'Mapa final'!$R$92),"")</f>
        <v/>
      </c>
      <c r="X85" s="100" t="str">
        <f>IF(AND('Mapa final'!$AB$93="Alta",'Mapa final'!$AD$93="Catastrófico"),CONCATENATE("R30C",'Mapa final'!$R$93),"")</f>
        <v/>
      </c>
      <c r="Y85" s="56"/>
      <c r="Z85" s="292"/>
      <c r="AA85" s="293"/>
      <c r="AB85" s="293"/>
      <c r="AC85" s="293"/>
      <c r="AD85" s="293"/>
      <c r="AE85" s="294"/>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row>
    <row r="86" spans="1:61" ht="15" customHeight="1" x14ac:dyDescent="0.35">
      <c r="A86" s="56"/>
      <c r="B86" s="307"/>
      <c r="C86" s="307"/>
      <c r="D86" s="308"/>
      <c r="E86" s="284"/>
      <c r="F86" s="297"/>
      <c r="G86" s="297"/>
      <c r="H86" s="297"/>
      <c r="I86" s="279"/>
      <c r="J86" s="49" t="str">
        <f>IF(AND('Mapa final'!$AB$94="Alta",'Mapa final'!$AD$94="Leve"),CONCATENATE("R31C",'Mapa final'!$R$94),"")</f>
        <v/>
      </c>
      <c r="K86" s="50" t="str">
        <f>IF(AND('Mapa final'!$AB$95="Alta",'Mapa final'!$AD$95="Leve"),CONCATENATE("R31C",'Mapa final'!$R$95),"")</f>
        <v/>
      </c>
      <c r="L86" s="111" t="str">
        <f>IF(AND('Mapa final'!$AB$96="Alta",'Mapa final'!$AD$96="Leve"),CONCATENATE("R31C",'Mapa final'!$R$96),"")</f>
        <v/>
      </c>
      <c r="M86" s="49" t="str">
        <f>IF(AND('Mapa final'!$AB$94="Alta",'Mapa final'!$AD$94="Menor"),CONCATENATE("R31C",'Mapa final'!$R$94),"")</f>
        <v/>
      </c>
      <c r="N86" s="50" t="str">
        <f>IF(AND('Mapa final'!$AB$95="Alta",'Mapa final'!$AD$95="Menor"),CONCATENATE("R31C",'Mapa final'!$R$95),"")</f>
        <v/>
      </c>
      <c r="O86" s="111" t="str">
        <f>IF(AND('Mapa final'!$AB$96="Alta",'Mapa final'!$AD$96="Menor"),CONCATENATE("R31C",'Mapa final'!$R$96),"")</f>
        <v/>
      </c>
      <c r="P86" s="105" t="str">
        <f>IF(AND('Mapa final'!$AB$94="Alta",'Mapa final'!$AD$94="Moderado"),CONCATENATE("R31C",'Mapa final'!$R$94),"")</f>
        <v/>
      </c>
      <c r="Q86" s="42" t="str">
        <f>IF(AND('Mapa final'!$AB$95="Alta",'Mapa final'!$AD$95="Moderado"),CONCATENATE("R31C",'Mapa final'!$R$95),"")</f>
        <v/>
      </c>
      <c r="R86" s="106" t="str">
        <f>IF(AND('Mapa final'!$AB$96="Alta",'Mapa final'!$AD$96="Moderado"),CONCATENATE("R31C",'Mapa final'!$R$96),"")</f>
        <v/>
      </c>
      <c r="S86" s="105" t="str">
        <f>IF(AND('Mapa final'!$AB$94="Alta",'Mapa final'!$AD$94="Mayor"),CONCATENATE("R31C",'Mapa final'!$R$94),"")</f>
        <v/>
      </c>
      <c r="T86" s="42" t="str">
        <f>IF(AND('Mapa final'!$AB$95="Alta",'Mapa final'!$AD$95="Mayor"),CONCATENATE("R31C",'Mapa final'!$R$95),"")</f>
        <v/>
      </c>
      <c r="U86" s="106" t="str">
        <f>IF(AND('Mapa final'!$AB$96="Alta",'Mapa final'!$AD$96="Mayor"),CONCATENATE("R31C",'Mapa final'!$R$96),"")</f>
        <v/>
      </c>
      <c r="V86" s="43" t="str">
        <f>IF(AND('Mapa final'!$AB$94="Alta",'Mapa final'!$AD$94="Catastrófico"),CONCATENATE("R31C",'Mapa final'!$R$94),"")</f>
        <v/>
      </c>
      <c r="W86" s="44" t="str">
        <f>IF(AND('Mapa final'!$AB$95="Alta",'Mapa final'!$AD$95="Catastrófico"),CONCATENATE("R31C",'Mapa final'!$R$95),"")</f>
        <v/>
      </c>
      <c r="X86" s="100" t="str">
        <f>IF(AND('Mapa final'!$AB$96="Alta",'Mapa final'!$AD$96="Catastrófico"),CONCATENATE("R31C",'Mapa final'!$R$96),"")</f>
        <v/>
      </c>
      <c r="Y86" s="56"/>
      <c r="Z86" s="292"/>
      <c r="AA86" s="293"/>
      <c r="AB86" s="293"/>
      <c r="AC86" s="293"/>
      <c r="AD86" s="293"/>
      <c r="AE86" s="294"/>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row>
    <row r="87" spans="1:61" ht="15" customHeight="1" x14ac:dyDescent="0.35">
      <c r="A87" s="56"/>
      <c r="B87" s="307"/>
      <c r="C87" s="307"/>
      <c r="D87" s="308"/>
      <c r="E87" s="284"/>
      <c r="F87" s="297"/>
      <c r="G87" s="297"/>
      <c r="H87" s="297"/>
      <c r="I87" s="279"/>
      <c r="J87" s="49" t="e">
        <f>IF(AND('Mapa final'!#REF!="Alta",'Mapa final'!#REF!="Leve"),CONCATENATE("R32C",'Mapa final'!#REF!),"")</f>
        <v>#REF!</v>
      </c>
      <c r="K87" s="50" t="e">
        <f>IF(AND('Mapa final'!#REF!="Alta",'Mapa final'!#REF!="Leve"),CONCATENATE("R32C",'Mapa final'!#REF!),"")</f>
        <v>#REF!</v>
      </c>
      <c r="L87" s="111" t="e">
        <f>IF(AND('Mapa final'!#REF!="Alta",'Mapa final'!#REF!="Leve"),CONCATENATE("R32C",'Mapa final'!#REF!),"")</f>
        <v>#REF!</v>
      </c>
      <c r="M87" s="49" t="e">
        <f>IF(AND('Mapa final'!#REF!="Alta",'Mapa final'!#REF!="Menor"),CONCATENATE("R32C",'Mapa final'!#REF!),"")</f>
        <v>#REF!</v>
      </c>
      <c r="N87" s="50" t="e">
        <f>IF(AND('Mapa final'!#REF!="Alta",'Mapa final'!#REF!="Menor"),CONCATENATE("R32C",'Mapa final'!#REF!),"")</f>
        <v>#REF!</v>
      </c>
      <c r="O87" s="111" t="e">
        <f>IF(AND('Mapa final'!#REF!="Alta",'Mapa final'!#REF!="Menor"),CONCATENATE("R32C",'Mapa final'!#REF!),"")</f>
        <v>#REF!</v>
      </c>
      <c r="P87" s="105" t="e">
        <f>IF(AND('Mapa final'!#REF!="Alta",'Mapa final'!#REF!="Moderado"),CONCATENATE("R32C",'Mapa final'!#REF!),"")</f>
        <v>#REF!</v>
      </c>
      <c r="Q87" s="42" t="e">
        <f>IF(AND('Mapa final'!#REF!="Alta",'Mapa final'!#REF!="Moderado"),CONCATENATE("R32C",'Mapa final'!#REF!),"")</f>
        <v>#REF!</v>
      </c>
      <c r="R87" s="42" t="e">
        <f>IF(AND('Mapa final'!#REF!="Alta",'Mapa final'!#REF!="Moderado"),CONCATENATE("R32C",'Mapa final'!#REF!),"")</f>
        <v>#REF!</v>
      </c>
      <c r="S87" s="105" t="e">
        <f>IF(AND('Mapa final'!#REF!="Alta",'Mapa final'!#REF!="Mayor"),CONCATENATE("R32C",'Mapa final'!#REF!),"")</f>
        <v>#REF!</v>
      </c>
      <c r="T87" s="42" t="e">
        <f>IF(AND('Mapa final'!#REF!="Alta",'Mapa final'!#REF!="Mayor"),CONCATENATE("R32C",'Mapa final'!#REF!),"")</f>
        <v>#REF!</v>
      </c>
      <c r="U87" s="106" t="e">
        <f>IF(AND('Mapa final'!#REF!="Alta",'Mapa final'!#REF!="Mayor"),CONCATENATE("R32C",'Mapa final'!#REF!),"")</f>
        <v>#REF!</v>
      </c>
      <c r="V87" s="43" t="e">
        <f>IF(AND('Mapa final'!#REF!="Alta",'Mapa final'!#REF!="Catastrófico"),CONCATENATE("R32C",'Mapa final'!#REF!),"")</f>
        <v>#REF!</v>
      </c>
      <c r="W87" s="44" t="e">
        <f>IF(AND('Mapa final'!#REF!="Alta",'Mapa final'!#REF!="Catastrófico"),CONCATENATE("R32C",'Mapa final'!#REF!),"")</f>
        <v>#REF!</v>
      </c>
      <c r="X87" s="100" t="e">
        <f>IF(AND('Mapa final'!#REF!="Alta",'Mapa final'!#REF!="Catastrófico"),CONCATENATE("R32C",'Mapa final'!#REF!),"")</f>
        <v>#REF!</v>
      </c>
      <c r="Y87" s="56"/>
      <c r="Z87" s="292"/>
      <c r="AA87" s="293"/>
      <c r="AB87" s="293"/>
      <c r="AC87" s="293"/>
      <c r="AD87" s="293"/>
      <c r="AE87" s="294"/>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row>
    <row r="88" spans="1:61" ht="15" customHeight="1" x14ac:dyDescent="0.35">
      <c r="A88" s="56"/>
      <c r="B88" s="307"/>
      <c r="C88" s="307"/>
      <c r="D88" s="308"/>
      <c r="E88" s="284"/>
      <c r="F88" s="297"/>
      <c r="G88" s="297"/>
      <c r="H88" s="297"/>
      <c r="I88" s="279"/>
      <c r="J88" s="49" t="str">
        <f>IF(AND('Mapa final'!$AB$97="Alta",'Mapa final'!$AD$97="Leve"),CONCATENATE("R33C",'Mapa final'!$R$97),"")</f>
        <v/>
      </c>
      <c r="K88" s="50" t="str">
        <f>IF(AND('Mapa final'!$AB$98="Alta",'Mapa final'!$AD$98="Leve"),CONCATENATE("R33C",'Mapa final'!$R$98),"")</f>
        <v/>
      </c>
      <c r="L88" s="111" t="str">
        <f>IF(AND('Mapa final'!$AB$99="Alta",'Mapa final'!$AD$99="Leve"),CONCATENATE("R33C",'Mapa final'!$R$99),"")</f>
        <v/>
      </c>
      <c r="M88" s="49" t="str">
        <f>IF(AND('Mapa final'!$AB$97="Alta",'Mapa final'!$AD$97="Menor"),CONCATENATE("R33C",'Mapa final'!$R$97),"")</f>
        <v/>
      </c>
      <c r="N88" s="50" t="str">
        <f>IF(AND('Mapa final'!$AB$98="Alta",'Mapa final'!$AD$98="Menor"),CONCATENATE("R33C",'Mapa final'!$R$98),"")</f>
        <v/>
      </c>
      <c r="O88" s="111" t="str">
        <f>IF(AND('Mapa final'!$AB$99="Alta",'Mapa final'!$AD$99="Menor"),CONCATENATE("R33C",'Mapa final'!$R$99),"")</f>
        <v/>
      </c>
      <c r="P88" s="105" t="str">
        <f>IF(AND('Mapa final'!$AB$97="Alta",'Mapa final'!$AD$97="Moderado"),CONCATENATE("R33C",'Mapa final'!$R$97),"")</f>
        <v/>
      </c>
      <c r="Q88" s="42" t="str">
        <f>IF(AND('Mapa final'!$AB$98="Alta",'Mapa final'!$AD$98="Moderado"),CONCATENATE("R33C",'Mapa final'!$R$98),"")</f>
        <v/>
      </c>
      <c r="R88" s="42" t="str">
        <f>IF(AND('Mapa final'!$AB$99="Alta",'Mapa final'!$AD$99="Moderado"),CONCATENATE("R33C",'Mapa final'!$R$99),"")</f>
        <v/>
      </c>
      <c r="S88" s="105" t="str">
        <f>IF(AND('Mapa final'!$AB$97="Alta",'Mapa final'!$AD$97="Mayor"),CONCATENATE("R33C",'Mapa final'!$R$97),"")</f>
        <v/>
      </c>
      <c r="T88" s="42" t="str">
        <f>IF(AND('Mapa final'!$AB$98="Alta",'Mapa final'!$AD$98="Mayor"),CONCATENATE("R33C",'Mapa final'!$R$98),"")</f>
        <v/>
      </c>
      <c r="U88" s="106" t="str">
        <f>IF(AND('Mapa final'!$AB$99="Alta",'Mapa final'!$AD$99="Mayor"),CONCATENATE("R33C",'Mapa final'!$R$99),"")</f>
        <v/>
      </c>
      <c r="V88" s="43" t="str">
        <f>IF(AND('Mapa final'!$AB$97="Alta",'Mapa final'!$AD$97="Catastrófico"),CONCATENATE("R33C",'Mapa final'!$R$97),"")</f>
        <v/>
      </c>
      <c r="W88" s="44" t="str">
        <f>IF(AND('Mapa final'!$AB$98="Alta",'Mapa final'!$AD$98="Catastrófico"),CONCATENATE("R33C",'Mapa final'!$R$98),"")</f>
        <v/>
      </c>
      <c r="X88" s="100" t="str">
        <f>IF(AND('Mapa final'!$AB$99="Alta",'Mapa final'!$AD$99="Catastrófico"),CONCATENATE("R33C",'Mapa final'!$R$99),"")</f>
        <v/>
      </c>
      <c r="Y88" s="56"/>
      <c r="Z88" s="292"/>
      <c r="AA88" s="293"/>
      <c r="AB88" s="293"/>
      <c r="AC88" s="293"/>
      <c r="AD88" s="293"/>
      <c r="AE88" s="294"/>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row>
    <row r="89" spans="1:61" ht="15" customHeight="1" x14ac:dyDescent="0.35">
      <c r="A89" s="56"/>
      <c r="B89" s="307"/>
      <c r="C89" s="307"/>
      <c r="D89" s="308"/>
      <c r="E89" s="284"/>
      <c r="F89" s="297"/>
      <c r="G89" s="297"/>
      <c r="H89" s="297"/>
      <c r="I89" s="279"/>
      <c r="J89" s="49" t="str">
        <f>IF(AND('Mapa final'!$AB$100="Alta",'Mapa final'!$AD$100="Leve"),CONCATENATE("R34C",'Mapa final'!$R$100),"")</f>
        <v/>
      </c>
      <c r="K89" s="50" t="str">
        <f>IF(AND('Mapa final'!$AB$101="Alta",'Mapa final'!$AD$101="Leve"),CONCATENATE("R34C",'Mapa final'!$R$101),"")</f>
        <v/>
      </c>
      <c r="L89" s="111" t="str">
        <f>IF(AND('Mapa final'!$AB$102="Alta",'Mapa final'!$AD$102="Leve"),CONCATENATE("R34C",'Mapa final'!$R$102),"")</f>
        <v/>
      </c>
      <c r="M89" s="49" t="str">
        <f>IF(AND('Mapa final'!$AB$100="Alta",'Mapa final'!$AD$100="Menor"),CONCATENATE("R34C",'Mapa final'!$R$100),"")</f>
        <v/>
      </c>
      <c r="N89" s="50" t="str">
        <f>IF(AND('Mapa final'!$AB$101="Alta",'Mapa final'!$AD$101="Menor"),CONCATENATE("R34C",'Mapa final'!$R$101),"")</f>
        <v/>
      </c>
      <c r="O89" s="111" t="str">
        <f>IF(AND('Mapa final'!$AB$102="Alta",'Mapa final'!$AD$102="Menor"),CONCATENATE("R34C",'Mapa final'!$R$102),"")</f>
        <v/>
      </c>
      <c r="P89" s="105" t="str">
        <f>IF(AND('Mapa final'!$AB$100="Alta",'Mapa final'!$AD$100="Moderado"),CONCATENATE("R34C",'Mapa final'!$R$100),"")</f>
        <v/>
      </c>
      <c r="Q89" s="42" t="str">
        <f>IF(AND('Mapa final'!$AB$101="Alta",'Mapa final'!$AD$101="Moderado"),CONCATENATE("R34C",'Mapa final'!$R$101),"")</f>
        <v/>
      </c>
      <c r="R89" s="106" t="str">
        <f>IF(AND('Mapa final'!$AB$102="Alta",'Mapa final'!$AD$102="Moderado"),CONCATENATE("R34C",'Mapa final'!$R$102),"")</f>
        <v/>
      </c>
      <c r="S89" s="105" t="str">
        <f>IF(AND('Mapa final'!$AB$100="Alta",'Mapa final'!$AD$100="Mayor"),CONCATENATE("R34C",'Mapa final'!$R$100),"")</f>
        <v/>
      </c>
      <c r="T89" s="42" t="str">
        <f>IF(AND('Mapa final'!$AB$101="Alta",'Mapa final'!$AD$101="Mayor"),CONCATENATE("R34C",'Mapa final'!$R$101),"")</f>
        <v/>
      </c>
      <c r="U89" s="106" t="str">
        <f>IF(AND('Mapa final'!$AB$102="Alta",'Mapa final'!$AD$102="Mayor"),CONCATENATE("R34C",'Mapa final'!$R$102),"")</f>
        <v/>
      </c>
      <c r="V89" s="43" t="str">
        <f>IF(AND('Mapa final'!$AB$100="Alta",'Mapa final'!$AD$100="Catastrófico"),CONCATENATE("R34C",'Mapa final'!$R$100),"")</f>
        <v/>
      </c>
      <c r="W89" s="44" t="str">
        <f>IF(AND('Mapa final'!$AB$101="Alta",'Mapa final'!$AD$101="Catastrófico"),CONCATENATE("R34C",'Mapa final'!$R$101),"")</f>
        <v/>
      </c>
      <c r="X89" s="100" t="str">
        <f>IF(AND('Mapa final'!$AB$102="Alta",'Mapa final'!$AD$102="Catastrófico"),CONCATENATE("R34C",'Mapa final'!$R$102),"")</f>
        <v/>
      </c>
      <c r="Y89" s="56"/>
      <c r="Z89" s="292"/>
      <c r="AA89" s="293"/>
      <c r="AB89" s="293"/>
      <c r="AC89" s="293"/>
      <c r="AD89" s="293"/>
      <c r="AE89" s="294"/>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row>
    <row r="90" spans="1:61" ht="15" customHeight="1" x14ac:dyDescent="0.35">
      <c r="A90" s="56"/>
      <c r="B90" s="307"/>
      <c r="C90" s="307"/>
      <c r="D90" s="308"/>
      <c r="E90" s="284"/>
      <c r="F90" s="297"/>
      <c r="G90" s="297"/>
      <c r="H90" s="297"/>
      <c r="I90" s="279"/>
      <c r="J90" s="49" t="str">
        <f>IF(AND('Mapa final'!$AB$103="Alta",'Mapa final'!$AD$103="Leve"),CONCATENATE("R35C",'Mapa final'!$R$103),"")</f>
        <v/>
      </c>
      <c r="K90" s="50" t="str">
        <f>IF(AND('Mapa final'!$AB$104="Alta",'Mapa final'!$AD$104="Leve"),CONCATENATE("R35C",'Mapa final'!$R$104),"")</f>
        <v/>
      </c>
      <c r="L90" s="111" t="str">
        <f>IF(AND('Mapa final'!$AB$105="Alta",'Mapa final'!$AD$105="Leve"),CONCATENATE("R35C",'Mapa final'!$R$105),"")</f>
        <v/>
      </c>
      <c r="M90" s="49" t="str">
        <f>IF(AND('Mapa final'!$AB$103="Alta",'Mapa final'!$AD$103="Menor"),CONCATENATE("R35C",'Mapa final'!$R$103),"")</f>
        <v/>
      </c>
      <c r="N90" s="50" t="str">
        <f>IF(AND('Mapa final'!$AB$104="Alta",'Mapa final'!$AD$104="Menor"),CONCATENATE("R35C",'Mapa final'!$R$104),"")</f>
        <v/>
      </c>
      <c r="O90" s="111" t="str">
        <f>IF(AND('Mapa final'!$AB$105="Alta",'Mapa final'!$AD$105="Menor"),CONCATENATE("R35C",'Mapa final'!$R$105),"")</f>
        <v/>
      </c>
      <c r="P90" s="105" t="str">
        <f>IF(AND('Mapa final'!$AB$103="Alta",'Mapa final'!$AD$103="Moderado"),CONCATENATE("R35C",'Mapa final'!$R$103),"")</f>
        <v/>
      </c>
      <c r="Q90" s="42" t="str">
        <f>IF(AND('Mapa final'!$AB$104="Alta",'Mapa final'!$AD$104="Moderado"),CONCATENATE("R35C",'Mapa final'!$R$104),"")</f>
        <v/>
      </c>
      <c r="R90" s="106" t="str">
        <f>IF(AND('Mapa final'!$AB$105="Alta",'Mapa final'!$AD$105="Moderado"),CONCATENATE("R35C",'Mapa final'!$R$105),"")</f>
        <v/>
      </c>
      <c r="S90" s="105" t="str">
        <f>IF(AND('Mapa final'!$AB$103="Alta",'Mapa final'!$AD$103="Mayor"),CONCATENATE("R35C",'Mapa final'!$R$103),"")</f>
        <v/>
      </c>
      <c r="T90" s="42" t="str">
        <f>IF(AND('Mapa final'!$AB$104="Alta",'Mapa final'!$AD$104="Mayor"),CONCATENATE("R35C",'Mapa final'!$R$104),"")</f>
        <v/>
      </c>
      <c r="U90" s="106" t="str">
        <f>IF(AND('Mapa final'!$AB$105="Alta",'Mapa final'!$AD$105="Mayor"),CONCATENATE("R35C",'Mapa final'!$R$105),"")</f>
        <v/>
      </c>
      <c r="V90" s="43" t="str">
        <f>IF(AND('Mapa final'!$AB$103="Alta",'Mapa final'!$AD$103="Catastrófico"),CONCATENATE("R35C",'Mapa final'!$R$103),"")</f>
        <v/>
      </c>
      <c r="W90" s="44" t="str">
        <f>IF(AND('Mapa final'!$AB$104="Alta",'Mapa final'!$AD$104="Catastrófico"),CONCATENATE("R35C",'Mapa final'!$R$104),"")</f>
        <v/>
      </c>
      <c r="X90" s="100" t="str">
        <f>IF(AND('Mapa final'!$AB$105="Alta",'Mapa final'!$AD$105="Catastrófico"),CONCATENATE("R35C",'Mapa final'!$R$105),"")</f>
        <v/>
      </c>
      <c r="Y90" s="56"/>
      <c r="Z90" s="292"/>
      <c r="AA90" s="293"/>
      <c r="AB90" s="293"/>
      <c r="AC90" s="293"/>
      <c r="AD90" s="293"/>
      <c r="AE90" s="294"/>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row>
    <row r="91" spans="1:61" ht="15" customHeight="1" x14ac:dyDescent="0.35">
      <c r="A91" s="56"/>
      <c r="B91" s="307"/>
      <c r="C91" s="307"/>
      <c r="D91" s="308"/>
      <c r="E91" s="284"/>
      <c r="F91" s="297"/>
      <c r="G91" s="297"/>
      <c r="H91" s="297"/>
      <c r="I91" s="279"/>
      <c r="J91" s="49" t="str">
        <f>IF(AND('Mapa final'!$AB$106="Alta",'Mapa final'!$AD$106="Leve"),CONCATENATE("R36C",'Mapa final'!$R$106),"")</f>
        <v/>
      </c>
      <c r="K91" s="50" t="str">
        <f>IF(AND('Mapa final'!$AB$107="Alta",'Mapa final'!$AD$107="Leve"),CONCATENATE("R36C",'Mapa final'!$R$107),"")</f>
        <v/>
      </c>
      <c r="L91" s="111" t="str">
        <f>IF(AND('Mapa final'!$AB$108="Alta",'Mapa final'!$AD$108="Leve"),CONCATENATE("R36C",'Mapa final'!$R$108),"")</f>
        <v/>
      </c>
      <c r="M91" s="49" t="str">
        <f>IF(AND('Mapa final'!$AB$106="Alta",'Mapa final'!$AD$106="Menor"),CONCATENATE("R36C",'Mapa final'!$R$106),"")</f>
        <v/>
      </c>
      <c r="N91" s="50" t="str">
        <f>IF(AND('Mapa final'!$AB$107="Alta",'Mapa final'!$AD$107="Menor"),CONCATENATE("R36C",'Mapa final'!$R$107),"")</f>
        <v/>
      </c>
      <c r="O91" s="111" t="str">
        <f>IF(AND('Mapa final'!$AB$108="Alta",'Mapa final'!$AD$108="Menor"),CONCATENATE("R36C",'Mapa final'!$R$108),"")</f>
        <v/>
      </c>
      <c r="P91" s="105" t="str">
        <f>IF(AND('Mapa final'!$AB$106="Alta",'Mapa final'!$AD$106="Moderado"),CONCATENATE("R36C",'Mapa final'!$R$106),"")</f>
        <v/>
      </c>
      <c r="Q91" s="42" t="str">
        <f>IF(AND('Mapa final'!$AB$107="Alta",'Mapa final'!$AD$107="Moderado"),CONCATENATE("R36C",'Mapa final'!$R$107),"")</f>
        <v/>
      </c>
      <c r="R91" s="106" t="str">
        <f>IF(AND('Mapa final'!$AB$108="Alta",'Mapa final'!$AD$108="Moderado"),CONCATENATE("R36C",'Mapa final'!$R$108),"")</f>
        <v/>
      </c>
      <c r="S91" s="105" t="str">
        <f>IF(AND('Mapa final'!$AB$106="Alta",'Mapa final'!$AD$106="Mayor"),CONCATENATE("R36C",'Mapa final'!$R$106),"")</f>
        <v/>
      </c>
      <c r="T91" s="42" t="str">
        <f>IF(AND('Mapa final'!$AB$107="Alta",'Mapa final'!$AD$107="Mayor"),CONCATENATE("R36C",'Mapa final'!$R$107),"")</f>
        <v/>
      </c>
      <c r="U91" s="106" t="str">
        <f>IF(AND('Mapa final'!$AB$108="Alta",'Mapa final'!$AD$108="Mayor"),CONCATENATE("R36C",'Mapa final'!$R$108),"")</f>
        <v/>
      </c>
      <c r="V91" s="43" t="str">
        <f>IF(AND('Mapa final'!$AB$106="Alta",'Mapa final'!$AD$106="Catastrófico"),CONCATENATE("R36C",'Mapa final'!$R$106),"")</f>
        <v/>
      </c>
      <c r="W91" s="44" t="str">
        <f>IF(AND('Mapa final'!$AB$107="Alta",'Mapa final'!$AD$107="Catastrófico"),CONCATENATE("R36C",'Mapa final'!$R$107),"")</f>
        <v/>
      </c>
      <c r="X91" s="100" t="str">
        <f>IF(AND('Mapa final'!$AB$108="Alta",'Mapa final'!$AD$108="Catastrófico"),CONCATENATE("R36C",'Mapa final'!$R$108),"")</f>
        <v/>
      </c>
      <c r="Y91" s="56"/>
      <c r="Z91" s="292"/>
      <c r="AA91" s="293"/>
      <c r="AB91" s="293"/>
      <c r="AC91" s="293"/>
      <c r="AD91" s="293"/>
      <c r="AE91" s="294"/>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row>
    <row r="92" spans="1:61" ht="15" customHeight="1" x14ac:dyDescent="0.35">
      <c r="A92" s="56"/>
      <c r="B92" s="307"/>
      <c r="C92" s="307"/>
      <c r="D92" s="308"/>
      <c r="E92" s="284"/>
      <c r="F92" s="297"/>
      <c r="G92" s="297"/>
      <c r="H92" s="297"/>
      <c r="I92" s="279"/>
      <c r="J92" s="49" t="str">
        <f>IF(AND('Mapa final'!$AB$109="Alta",'Mapa final'!$AD$109="Leve"),CONCATENATE("R37C",'Mapa final'!$R$109),"")</f>
        <v/>
      </c>
      <c r="K92" s="50" t="str">
        <f>IF(AND('Mapa final'!$AB$110="Alta",'Mapa final'!$AD$110="Leve"),CONCATENATE("R37C",'Mapa final'!$R$110),"")</f>
        <v/>
      </c>
      <c r="L92" s="111" t="str">
        <f>IF(AND('Mapa final'!$AB$111="Alta",'Mapa final'!$AD$111="Leve"),CONCATENATE("R37C",'Mapa final'!$R$111),"")</f>
        <v/>
      </c>
      <c r="M92" s="49" t="str">
        <f>IF(AND('Mapa final'!$AB$109="Alta",'Mapa final'!$AD$109="Menor"),CONCATENATE("R37C",'Mapa final'!$R$109),"")</f>
        <v/>
      </c>
      <c r="N92" s="50" t="str">
        <f>IF(AND('Mapa final'!$AB$110="Alta",'Mapa final'!$AD$110="Menor"),CONCATENATE("R37C",'Mapa final'!$R$110),"")</f>
        <v/>
      </c>
      <c r="O92" s="111" t="str">
        <f>IF(AND('Mapa final'!$AB$111="Alta",'Mapa final'!$AD$111="Menor"),CONCATENATE("R37C",'Mapa final'!$R$111),"")</f>
        <v/>
      </c>
      <c r="P92" s="105" t="str">
        <f>IF(AND('Mapa final'!$AB$109="Alta",'Mapa final'!$AD$109="Moderado"),CONCATENATE("R37C",'Mapa final'!$R$109),"")</f>
        <v/>
      </c>
      <c r="Q92" s="42" t="str">
        <f>IF(AND('Mapa final'!$AB$110="Alta",'Mapa final'!$AD$110="Moderado"),CONCATENATE("R37C",'Mapa final'!$R$110),"")</f>
        <v/>
      </c>
      <c r="R92" s="106" t="str">
        <f>IF(AND('Mapa final'!$AB$111="Alta",'Mapa final'!$AD$111="Moderado"),CONCATENATE("R37C",'Mapa final'!$R$111),"")</f>
        <v/>
      </c>
      <c r="S92" s="105" t="str">
        <f>IF(AND('Mapa final'!$AB$109="Alta",'Mapa final'!$AD$109="Mayor"),CONCATENATE("R37C",'Mapa final'!$R$109),"")</f>
        <v/>
      </c>
      <c r="T92" s="42" t="str">
        <f>IF(AND('Mapa final'!$AB$110="Alta",'Mapa final'!$AD$110="Mayor"),CONCATENATE("R37C",'Mapa final'!$R$110),"")</f>
        <v/>
      </c>
      <c r="U92" s="106" t="str">
        <f>IF(AND('Mapa final'!$AB$111="Alta",'Mapa final'!$AD$111="Mayor"),CONCATENATE("R37C",'Mapa final'!$R$111),"")</f>
        <v/>
      </c>
      <c r="V92" s="43" t="str">
        <f>IF(AND('Mapa final'!$AB$109="Alta",'Mapa final'!$AD$109="Catastrófico"),CONCATENATE("R37C",'Mapa final'!$R$109),"")</f>
        <v/>
      </c>
      <c r="W92" s="44" t="str">
        <f>IF(AND('Mapa final'!$AB$110="Alta",'Mapa final'!$AD$110="Catastrófico"),CONCATENATE("R37C",'Mapa final'!$R$110),"")</f>
        <v/>
      </c>
      <c r="X92" s="100" t="str">
        <f>IF(AND('Mapa final'!$AB$111="Alta",'Mapa final'!$AD$111="Catastrófico"),CONCATENATE("R37C",'Mapa final'!$R$111),"")</f>
        <v/>
      </c>
      <c r="Y92" s="56"/>
      <c r="Z92" s="292"/>
      <c r="AA92" s="293"/>
      <c r="AB92" s="293"/>
      <c r="AC92" s="293"/>
      <c r="AD92" s="293"/>
      <c r="AE92" s="294"/>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row>
    <row r="93" spans="1:61" ht="15" customHeight="1" x14ac:dyDescent="0.35">
      <c r="A93" s="56"/>
      <c r="B93" s="307"/>
      <c r="C93" s="307"/>
      <c r="D93" s="308"/>
      <c r="E93" s="284"/>
      <c r="F93" s="297"/>
      <c r="G93" s="297"/>
      <c r="H93" s="297"/>
      <c r="I93" s="279"/>
      <c r="J93" s="49" t="str">
        <f>IF(AND('Mapa final'!$AB$112="Alta",'Mapa final'!$AD$112="Leve"),CONCATENATE("R38C",'Mapa final'!$R$112),"")</f>
        <v/>
      </c>
      <c r="K93" s="50" t="str">
        <f>IF(AND('Mapa final'!$AB$113="Alta",'Mapa final'!$AD$113="Leve"),CONCATENATE("R38C",'Mapa final'!$R$113),"")</f>
        <v/>
      </c>
      <c r="L93" s="111" t="str">
        <f>IF(AND('Mapa final'!$AB$114="Alta",'Mapa final'!$AD$114="Leve"),CONCATENATE("R38C",'Mapa final'!$R$114),"")</f>
        <v/>
      </c>
      <c r="M93" s="49" t="str">
        <f>IF(AND('Mapa final'!$AB$112="Alta",'Mapa final'!$AD$112="Menor"),CONCATENATE("R38C",'Mapa final'!$R$112),"")</f>
        <v/>
      </c>
      <c r="N93" s="50" t="str">
        <f>IF(AND('Mapa final'!$AB$113="Alta",'Mapa final'!$AD$113="Menor"),CONCATENATE("R38C",'Mapa final'!$R$113),"")</f>
        <v/>
      </c>
      <c r="O93" s="111" t="str">
        <f>IF(AND('Mapa final'!$AB$114="Alta",'Mapa final'!$AD$114="Menor"),CONCATENATE("R38C",'Mapa final'!$R$114),"")</f>
        <v/>
      </c>
      <c r="P93" s="105" t="str">
        <f>IF(AND('Mapa final'!$AB$112="Alta",'Mapa final'!$AD$112="Moderado"),CONCATENATE("R38C",'Mapa final'!$R$112),"")</f>
        <v/>
      </c>
      <c r="Q93" s="42" t="str">
        <f>IF(AND('Mapa final'!$AB$113="Alta",'Mapa final'!$AD$113="Moderado"),CONCATENATE("R38C",'Mapa final'!$R$113),"")</f>
        <v/>
      </c>
      <c r="R93" s="106" t="str">
        <f>IF(AND('Mapa final'!$AB$114="Alta",'Mapa final'!$AD$114="Moderado"),CONCATENATE("R38C",'Mapa final'!$R$114),"")</f>
        <v/>
      </c>
      <c r="S93" s="105" t="str">
        <f>IF(AND('Mapa final'!$AB$112="Alta",'Mapa final'!$AD$112="Mayor"),CONCATENATE("R38C",'Mapa final'!$R$112),"")</f>
        <v/>
      </c>
      <c r="T93" s="42" t="str">
        <f>IF(AND('Mapa final'!$AB$113="Alta",'Mapa final'!$AD$113="Mayor"),CONCATENATE("R38C",'Mapa final'!$R$113),"")</f>
        <v/>
      </c>
      <c r="U93" s="106" t="str">
        <f>IF(AND('Mapa final'!$AB$114="Alta",'Mapa final'!$AD$114="Mayor"),CONCATENATE("R38C",'Mapa final'!$R$114),"")</f>
        <v/>
      </c>
      <c r="V93" s="43" t="str">
        <f>IF(AND('Mapa final'!$AB$112="Alta",'Mapa final'!$AD$112="Catastrófico"),CONCATENATE("R38C",'Mapa final'!$R$112),"")</f>
        <v/>
      </c>
      <c r="W93" s="44" t="str">
        <f>IF(AND('Mapa final'!$AB$113="Alta",'Mapa final'!$AD$113="Catastrófico"),CONCATENATE("R38C",'Mapa final'!$R$113),"")</f>
        <v/>
      </c>
      <c r="X93" s="100" t="str">
        <f>IF(AND('Mapa final'!$AB$114="Alta",'Mapa final'!$AD$114="Catastrófico"),CONCATENATE("R38C",'Mapa final'!$R$114),"")</f>
        <v/>
      </c>
      <c r="Y93" s="56"/>
      <c r="Z93" s="292"/>
      <c r="AA93" s="293"/>
      <c r="AB93" s="293"/>
      <c r="AC93" s="293"/>
      <c r="AD93" s="293"/>
      <c r="AE93" s="294"/>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row>
    <row r="94" spans="1:61" ht="15" customHeight="1" x14ac:dyDescent="0.35">
      <c r="A94" s="56"/>
      <c r="B94" s="307"/>
      <c r="C94" s="307"/>
      <c r="D94" s="308"/>
      <c r="E94" s="284"/>
      <c r="F94" s="297"/>
      <c r="G94" s="297"/>
      <c r="H94" s="297"/>
      <c r="I94" s="279"/>
      <c r="J94" s="49" t="str">
        <f>IF(AND('Mapa final'!$AB$115="Alta",'Mapa final'!$AD$115="Leve"),CONCATENATE("R39C",'Mapa final'!$R$115),"")</f>
        <v/>
      </c>
      <c r="K94" s="50" t="str">
        <f>IF(AND('Mapa final'!$AB$116="Alta",'Mapa final'!$AD$116="Leve"),CONCATENATE("R39C",'Mapa final'!$R$116),"")</f>
        <v/>
      </c>
      <c r="L94" s="111" t="str">
        <f>IF(AND('Mapa final'!$AB$117="Alta",'Mapa final'!$AD$117="Leve"),CONCATENATE("R39C",'Mapa final'!$R$117),"")</f>
        <v/>
      </c>
      <c r="M94" s="49" t="str">
        <f>IF(AND('Mapa final'!$AB$115="Alta",'Mapa final'!$AD$115="Menor"),CONCATENATE("R39C",'Mapa final'!$R$115),"")</f>
        <v/>
      </c>
      <c r="N94" s="50" t="str">
        <f>IF(AND('Mapa final'!$AB$116="Alta",'Mapa final'!$AD$116="Menor"),CONCATENATE("R39C",'Mapa final'!$R$116),"")</f>
        <v/>
      </c>
      <c r="O94" s="111" t="str">
        <f>IF(AND('Mapa final'!$AB$117="Alta",'Mapa final'!$AD$117="Menor"),CONCATENATE("R39C",'Mapa final'!$R$117),"")</f>
        <v/>
      </c>
      <c r="P94" s="105" t="str">
        <f>IF(AND('Mapa final'!$AB$115="Alta",'Mapa final'!$AD$115="Moderado"),CONCATENATE("R39C",'Mapa final'!$R$115),"")</f>
        <v/>
      </c>
      <c r="Q94" s="42" t="str">
        <f>IF(AND('Mapa final'!$AB$116="Alta",'Mapa final'!$AD$116="Moderado"),CONCATENATE("R39C",'Mapa final'!$R$116),"")</f>
        <v/>
      </c>
      <c r="R94" s="106" t="str">
        <f>IF(AND('Mapa final'!$AB$117="Alta",'Mapa final'!$AD$117="Moderado"),CONCATENATE("R39C",'Mapa final'!$R$117),"")</f>
        <v/>
      </c>
      <c r="S94" s="105" t="str">
        <f>IF(AND('Mapa final'!$AB$115="Alta",'Mapa final'!$AD$115="Mayor"),CONCATENATE("R39C",'Mapa final'!$R$115),"")</f>
        <v/>
      </c>
      <c r="T94" s="42" t="str">
        <f>IF(AND('Mapa final'!$AB$116="Alta",'Mapa final'!$AD$116="Mayor"),CONCATENATE("R39C",'Mapa final'!$R$116),"")</f>
        <v/>
      </c>
      <c r="U94" s="106" t="str">
        <f>IF(AND('Mapa final'!$AB$117="Alta",'Mapa final'!$AD$117="Mayor"),CONCATENATE("R39C",'Mapa final'!$R$117),"")</f>
        <v/>
      </c>
      <c r="V94" s="43" t="str">
        <f>IF(AND('Mapa final'!$AB$115="Alta",'Mapa final'!$AD$115="Catastrófico"),CONCATENATE("R39C",'Mapa final'!$R$115),"")</f>
        <v/>
      </c>
      <c r="W94" s="44" t="str">
        <f>IF(AND('Mapa final'!$AB$116="Alta",'Mapa final'!$AD$116="Catastrófico"),CONCATENATE("R39C",'Mapa final'!$R$116),"")</f>
        <v/>
      </c>
      <c r="X94" s="100" t="str">
        <f>IF(AND('Mapa final'!$AB$117="Alta",'Mapa final'!$AD$117="Catastrófico"),CONCATENATE("R39C",'Mapa final'!$R$117),"")</f>
        <v/>
      </c>
      <c r="Y94" s="56"/>
      <c r="Z94" s="292"/>
      <c r="AA94" s="293"/>
      <c r="AB94" s="293"/>
      <c r="AC94" s="293"/>
      <c r="AD94" s="293"/>
      <c r="AE94" s="294"/>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row>
    <row r="95" spans="1:61" ht="15" customHeight="1" x14ac:dyDescent="0.35">
      <c r="A95" s="56"/>
      <c r="B95" s="307"/>
      <c r="C95" s="307"/>
      <c r="D95" s="308"/>
      <c r="E95" s="284"/>
      <c r="F95" s="297"/>
      <c r="G95" s="297"/>
      <c r="H95" s="297"/>
      <c r="I95" s="279"/>
      <c r="J95" s="49" t="str">
        <f>IF(AND('Mapa final'!$AB$118="Alta",'Mapa final'!$AD$118="Leve"),CONCATENATE("R40C",'Mapa final'!$R$118),"")</f>
        <v/>
      </c>
      <c r="K95" s="50" t="str">
        <f>IF(AND('Mapa final'!$AB$119="Alta",'Mapa final'!$AD$119="Leve"),CONCATENATE("R40C",'Mapa final'!$R$119),"")</f>
        <v/>
      </c>
      <c r="L95" s="111" t="str">
        <f>IF(AND('Mapa final'!$AB$120="Alta",'Mapa final'!$AD$120="Leve"),CONCATENATE("R40C",'Mapa final'!$R$120),"")</f>
        <v/>
      </c>
      <c r="M95" s="49" t="str">
        <f>IF(AND('Mapa final'!$AB$118="Alta",'Mapa final'!$AD$118="Menor"),CONCATENATE("R40C",'Mapa final'!$R$118),"")</f>
        <v/>
      </c>
      <c r="N95" s="50" t="str">
        <f>IF(AND('Mapa final'!$AB$119="Alta",'Mapa final'!$AD$119="Menor"),CONCATENATE("R40C",'Mapa final'!$R$119),"")</f>
        <v/>
      </c>
      <c r="O95" s="111" t="str">
        <f>IF(AND('Mapa final'!$AB$120="Alta",'Mapa final'!$AD$120="Menor"),CONCATENATE("R40C",'Mapa final'!$R$120),"")</f>
        <v/>
      </c>
      <c r="P95" s="105" t="str">
        <f>IF(AND('Mapa final'!$AB$118="Alta",'Mapa final'!$AD$118="Moderado"),CONCATENATE("R40C",'Mapa final'!$R$118),"")</f>
        <v/>
      </c>
      <c r="Q95" s="42" t="str">
        <f>IF(AND('Mapa final'!$AB$119="Alta",'Mapa final'!$AD$119="Moderado"),CONCATENATE("R40C",'Mapa final'!$R$119),"")</f>
        <v/>
      </c>
      <c r="R95" s="106" t="str">
        <f>IF(AND('Mapa final'!$AB$120="Alta",'Mapa final'!$AD$120="Moderado"),CONCATENATE("R40C",'Mapa final'!$R$120),"")</f>
        <v/>
      </c>
      <c r="S95" s="105" t="str">
        <f>IF(AND('Mapa final'!$AB$118="Alta",'Mapa final'!$AD$118="Mayor"),CONCATENATE("R40C",'Mapa final'!$R$118),"")</f>
        <v/>
      </c>
      <c r="T95" s="42" t="str">
        <f>IF(AND('Mapa final'!$AB$119="Alta",'Mapa final'!$AD$119="Mayor"),CONCATENATE("R40C",'Mapa final'!$R$119),"")</f>
        <v/>
      </c>
      <c r="U95" s="106" t="str">
        <f>IF(AND('Mapa final'!$AB$120="Alta",'Mapa final'!$AD$120="Mayor"),CONCATENATE("R40C",'Mapa final'!$R$120),"")</f>
        <v/>
      </c>
      <c r="V95" s="43" t="str">
        <f>IF(AND('Mapa final'!$AB$118="Alta",'Mapa final'!$AD$118="Catastrófico"),CONCATENATE("R40C",'Mapa final'!$R$118),"")</f>
        <v/>
      </c>
      <c r="W95" s="44" t="str">
        <f>IF(AND('Mapa final'!$AB$119="Alta",'Mapa final'!$AD$119="Catastrófico"),CONCATENATE("R40C",'Mapa final'!$R$119),"")</f>
        <v/>
      </c>
      <c r="X95" s="100" t="str">
        <f>IF(AND('Mapa final'!$AB$120="Alta",'Mapa final'!$AD$120="Catastrófico"),CONCATENATE("R40C",'Mapa final'!$R$120),"")</f>
        <v/>
      </c>
      <c r="Y95" s="56"/>
      <c r="Z95" s="292"/>
      <c r="AA95" s="293"/>
      <c r="AB95" s="293"/>
      <c r="AC95" s="293"/>
      <c r="AD95" s="293"/>
      <c r="AE95" s="294"/>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row>
    <row r="96" spans="1:61" ht="15" customHeight="1" x14ac:dyDescent="0.35">
      <c r="A96" s="56"/>
      <c r="B96" s="307"/>
      <c r="C96" s="307"/>
      <c r="D96" s="308"/>
      <c r="E96" s="284"/>
      <c r="F96" s="297"/>
      <c r="G96" s="297"/>
      <c r="H96" s="297"/>
      <c r="I96" s="279"/>
      <c r="J96" s="49" t="str">
        <f>IF(AND('Mapa final'!$AB$121="Alta",'Mapa final'!$AD$121="Leve"),CONCATENATE("R41C",'Mapa final'!$R$121),"")</f>
        <v/>
      </c>
      <c r="K96" s="50" t="str">
        <f>IF(AND('Mapa final'!$AB$122="Alta",'Mapa final'!$AD$122="Leve"),CONCATENATE("R41C",'Mapa final'!$R$122),"")</f>
        <v/>
      </c>
      <c r="L96" s="111" t="str">
        <f>IF(AND('Mapa final'!$AB$123="Alta",'Mapa final'!$AD$123="Leve"),CONCATENATE("R41C",'Mapa final'!$R$123),"")</f>
        <v/>
      </c>
      <c r="M96" s="49" t="str">
        <f>IF(AND('Mapa final'!$AB$121="Alta",'Mapa final'!$AD$121="Menor"),CONCATENATE("R41C",'Mapa final'!$R$121),"")</f>
        <v/>
      </c>
      <c r="N96" s="50" t="str">
        <f>IF(AND('Mapa final'!$AB$122="Alta",'Mapa final'!$AD$122="Menor"),CONCATENATE("R41C",'Mapa final'!$R$122),"")</f>
        <v/>
      </c>
      <c r="O96" s="111" t="str">
        <f>IF(AND('Mapa final'!$AB$123="Alta",'Mapa final'!$AD$123="Menor"),CONCATENATE("R41C",'Mapa final'!$R$123),"")</f>
        <v/>
      </c>
      <c r="P96" s="105" t="str">
        <f>IF(AND('Mapa final'!$AB$121="Alta",'Mapa final'!$AD$121="Moderado"),CONCATENATE("R41C",'Mapa final'!$R$121),"")</f>
        <v/>
      </c>
      <c r="Q96" s="42" t="str">
        <f>IF(AND('Mapa final'!$AB$122="Alta",'Mapa final'!$AD$122="Moderado"),CONCATENATE("R41C",'Mapa final'!$R$122),"")</f>
        <v/>
      </c>
      <c r="R96" s="106" t="str">
        <f>IF(AND('Mapa final'!$AB$123="Alta",'Mapa final'!$AD$123="Moderado"),CONCATENATE("R41C",'Mapa final'!$R$123),"")</f>
        <v/>
      </c>
      <c r="S96" s="105" t="str">
        <f>IF(AND('Mapa final'!$AB$121="Alta",'Mapa final'!$AD$121="Mayor"),CONCATENATE("R41C",'Mapa final'!$R$121),"")</f>
        <v/>
      </c>
      <c r="T96" s="42" t="str">
        <f>IF(AND('Mapa final'!$AB$122="Alta",'Mapa final'!$AD$122="Mayor"),CONCATENATE("R41C",'Mapa final'!$R$122),"")</f>
        <v/>
      </c>
      <c r="U96" s="106" t="str">
        <f>IF(AND('Mapa final'!$AB$123="Alta",'Mapa final'!$AD$123="Mayor"),CONCATENATE("R41C",'Mapa final'!$R$123),"")</f>
        <v/>
      </c>
      <c r="V96" s="43" t="str">
        <f>IF(AND('Mapa final'!$AB$121="Alta",'Mapa final'!$AD$121="Catastrófico"),CONCATENATE("R41C",'Mapa final'!$R$121),"")</f>
        <v/>
      </c>
      <c r="W96" s="44" t="str">
        <f>IF(AND('Mapa final'!$AB$122="Alta",'Mapa final'!$AD$122="Catastrófico"),CONCATENATE("R41C",'Mapa final'!$R$122),"")</f>
        <v/>
      </c>
      <c r="X96" s="100" t="str">
        <f>IF(AND('Mapa final'!$AB$123="Alta",'Mapa final'!$AD$123="Catastrófico"),CONCATENATE("R41C",'Mapa final'!$R$123),"")</f>
        <v/>
      </c>
      <c r="Y96" s="56"/>
      <c r="Z96" s="292"/>
      <c r="AA96" s="293"/>
      <c r="AB96" s="293"/>
      <c r="AC96" s="293"/>
      <c r="AD96" s="293"/>
      <c r="AE96" s="294"/>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row>
    <row r="97" spans="1:61" ht="15" customHeight="1" x14ac:dyDescent="0.35">
      <c r="A97" s="56"/>
      <c r="B97" s="307"/>
      <c r="C97" s="307"/>
      <c r="D97" s="308"/>
      <c r="E97" s="284"/>
      <c r="F97" s="297"/>
      <c r="G97" s="297"/>
      <c r="H97" s="297"/>
      <c r="I97" s="279"/>
      <c r="J97" s="49" t="str">
        <f>IF(AND('Mapa final'!$AB$124="Alta",'Mapa final'!$AD$124="Leve"),CONCATENATE("R42C",'Mapa final'!$R$124),"")</f>
        <v/>
      </c>
      <c r="K97" s="50" t="str">
        <f>IF(AND('Mapa final'!$AB$125="Alta",'Mapa final'!$AD$125="Leve"),CONCATENATE("R42C",'Mapa final'!$R$125),"")</f>
        <v/>
      </c>
      <c r="L97" s="111" t="str">
        <f>IF(AND('Mapa final'!$AB$126="Alta",'Mapa final'!$AD$126="Leve"),CONCATENATE("R42C",'Mapa final'!$R$126),"")</f>
        <v/>
      </c>
      <c r="M97" s="49" t="str">
        <f>IF(AND('Mapa final'!$AB$124="Alta",'Mapa final'!$AD$124="Menor"),CONCATENATE("R42C",'Mapa final'!$R$124),"")</f>
        <v/>
      </c>
      <c r="N97" s="50" t="str">
        <f>IF(AND('Mapa final'!$AB$125="Alta",'Mapa final'!$AD$125="Menor"),CONCATENATE("R42C",'Mapa final'!$R$125),"")</f>
        <v/>
      </c>
      <c r="O97" s="111" t="str">
        <f>IF(AND('Mapa final'!$AB$126="Alta",'Mapa final'!$AD$126="Menor"),CONCATENATE("R42C",'Mapa final'!$R$126),"")</f>
        <v/>
      </c>
      <c r="P97" s="105" t="str">
        <f>IF(AND('Mapa final'!$AB$124="Alta",'Mapa final'!$AD$124="Moderado"),CONCATENATE("R42C",'Mapa final'!$R$124),"")</f>
        <v/>
      </c>
      <c r="Q97" s="42" t="str">
        <f>IF(AND('Mapa final'!$AB$125="Alta",'Mapa final'!$AD$125="Moderado"),CONCATENATE("R42C",'Mapa final'!$R$125),"")</f>
        <v/>
      </c>
      <c r="R97" s="106" t="str">
        <f>IF(AND('Mapa final'!$AB$126="Alta",'Mapa final'!$AD$126="Moderado"),CONCATENATE("R42C",'Mapa final'!$R$126),"")</f>
        <v/>
      </c>
      <c r="S97" s="105" t="str">
        <f>IF(AND('Mapa final'!$AB$124="Alta",'Mapa final'!$AD$124="Mayor"),CONCATENATE("R42C",'Mapa final'!$R$124),"")</f>
        <v/>
      </c>
      <c r="T97" s="42" t="str">
        <f>IF(AND('Mapa final'!$AB$125="Alta",'Mapa final'!$AD$125="Mayor"),CONCATENATE("R42C",'Mapa final'!$R$125),"")</f>
        <v/>
      </c>
      <c r="U97" s="106" t="str">
        <f>IF(AND('Mapa final'!$AB$126="Alta",'Mapa final'!$AD$126="Mayor"),CONCATENATE("R42C",'Mapa final'!$R$126),"")</f>
        <v/>
      </c>
      <c r="V97" s="43" t="str">
        <f>IF(AND('Mapa final'!$AB$124="Alta",'Mapa final'!$AD$124="Catastrófico"),CONCATENATE("R42C",'Mapa final'!$R$124),"")</f>
        <v/>
      </c>
      <c r="W97" s="44" t="str">
        <f>IF(AND('Mapa final'!$AB$125="Alta",'Mapa final'!$AD$125="Catastrófico"),CONCATENATE("R42C",'Mapa final'!$R$125),"")</f>
        <v/>
      </c>
      <c r="X97" s="100" t="str">
        <f>IF(AND('Mapa final'!$AB$126="Alta",'Mapa final'!$AD$126="Catastrófico"),CONCATENATE("R42C",'Mapa final'!$R$126),"")</f>
        <v/>
      </c>
      <c r="Y97" s="56"/>
      <c r="Z97" s="292"/>
      <c r="AA97" s="293"/>
      <c r="AB97" s="293"/>
      <c r="AC97" s="293"/>
      <c r="AD97" s="293"/>
      <c r="AE97" s="294"/>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row>
    <row r="98" spans="1:61" ht="15" customHeight="1" x14ac:dyDescent="0.35">
      <c r="A98" s="56"/>
      <c r="B98" s="307"/>
      <c r="C98" s="307"/>
      <c r="D98" s="308"/>
      <c r="E98" s="284"/>
      <c r="F98" s="297"/>
      <c r="G98" s="297"/>
      <c r="H98" s="297"/>
      <c r="I98" s="279"/>
      <c r="J98" s="49" t="str">
        <f>IF(AND('Mapa final'!$AB$127="Alta",'Mapa final'!$AD$127="Leve"),CONCATENATE("R43C",'Mapa final'!$R$127),"")</f>
        <v/>
      </c>
      <c r="K98" s="50" t="str">
        <f>IF(AND('Mapa final'!$AB$128="Alta",'Mapa final'!$AD$128="Leve"),CONCATENATE("R43C",'Mapa final'!$R$128),"")</f>
        <v/>
      </c>
      <c r="L98" s="111" t="str">
        <f>IF(AND('Mapa final'!$AB$129="Alta",'Mapa final'!$AD$129="Leve"),CONCATENATE("R43C",'Mapa final'!$R$129),"")</f>
        <v/>
      </c>
      <c r="M98" s="49" t="str">
        <f>IF(AND('Mapa final'!$AB$127="Alta",'Mapa final'!$AD$127="Menor"),CONCATENATE("R43C",'Mapa final'!$R$127),"")</f>
        <v/>
      </c>
      <c r="N98" s="50" t="str">
        <f>IF(AND('Mapa final'!$AB$128="Alta",'Mapa final'!$AD$128="Menor"),CONCATENATE("R43C",'Mapa final'!$R$128),"")</f>
        <v/>
      </c>
      <c r="O98" s="111" t="str">
        <f>IF(AND('Mapa final'!$AB$129="Alta",'Mapa final'!$AD$129="Menor"),CONCATENATE("R43C",'Mapa final'!$R$129),"")</f>
        <v/>
      </c>
      <c r="P98" s="105" t="str">
        <f>IF(AND('Mapa final'!$AB$127="Alta",'Mapa final'!$AD$127="Moderado"),CONCATENATE("R43C",'Mapa final'!$R$127),"")</f>
        <v/>
      </c>
      <c r="Q98" s="42" t="str">
        <f>IF(AND('Mapa final'!$AB$128="Alta",'Mapa final'!$AD$128="Moderado"),CONCATENATE("R43C",'Mapa final'!$R$128),"")</f>
        <v/>
      </c>
      <c r="R98" s="106" t="str">
        <f>IF(AND('Mapa final'!$AB$129="Alta",'Mapa final'!$AD$129="Moderado"),CONCATENATE("R43C",'Mapa final'!$R$129),"")</f>
        <v/>
      </c>
      <c r="S98" s="105" t="str">
        <f>IF(AND('Mapa final'!$AB$127="Alta",'Mapa final'!$AD$127="Mayor"),CONCATENATE("R43C",'Mapa final'!$R$127),"")</f>
        <v/>
      </c>
      <c r="T98" s="42" t="str">
        <f>IF(AND('Mapa final'!$AB$128="Alta",'Mapa final'!$AD$128="Mayor"),CONCATENATE("R43C",'Mapa final'!$R$128),"")</f>
        <v/>
      </c>
      <c r="U98" s="106" t="str">
        <f>IF(AND('Mapa final'!$AB$129="Alta",'Mapa final'!$AD$129="Mayor"),CONCATENATE("R43C",'Mapa final'!$R$129),"")</f>
        <v/>
      </c>
      <c r="V98" s="43" t="str">
        <f>IF(AND('Mapa final'!$AB$127="Alta",'Mapa final'!$AD$127="Catastrófico"),CONCATENATE("R43C",'Mapa final'!$R$127),"")</f>
        <v/>
      </c>
      <c r="W98" s="44" t="str">
        <f>IF(AND('Mapa final'!$AB$128="Alta",'Mapa final'!$AD$128="Catastrófico"),CONCATENATE("R43C",'Mapa final'!$R$128),"")</f>
        <v/>
      </c>
      <c r="X98" s="100" t="str">
        <f>IF(AND('Mapa final'!$AB$129="Alta",'Mapa final'!$AD$129="Catastrófico"),CONCATENATE("R43C",'Mapa final'!$R$129),"")</f>
        <v/>
      </c>
      <c r="Y98" s="56"/>
      <c r="Z98" s="292"/>
      <c r="AA98" s="293"/>
      <c r="AB98" s="293"/>
      <c r="AC98" s="293"/>
      <c r="AD98" s="293"/>
      <c r="AE98" s="294"/>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row>
    <row r="99" spans="1:61" ht="15" customHeight="1" x14ac:dyDescent="0.35">
      <c r="A99" s="56"/>
      <c r="B99" s="307"/>
      <c r="C99" s="307"/>
      <c r="D99" s="308"/>
      <c r="E99" s="284"/>
      <c r="F99" s="297"/>
      <c r="G99" s="297"/>
      <c r="H99" s="297"/>
      <c r="I99" s="279"/>
      <c r="J99" s="49" t="str">
        <f>IF(AND('Mapa final'!$AB$130="Alta",'Mapa final'!$AD$130="Leve"),CONCATENATE("R44C",'Mapa final'!$R$130),"")</f>
        <v/>
      </c>
      <c r="K99" s="50" t="str">
        <f>IF(AND('Mapa final'!$AB$131="Alta",'Mapa final'!$AD$131="Leve"),CONCATENATE("R44C",'Mapa final'!$R$131),"")</f>
        <v/>
      </c>
      <c r="L99" s="111" t="str">
        <f>IF(AND('Mapa final'!$AB$132="Alta",'Mapa final'!$AD$132="Leve"),CONCATENATE("R44C",'Mapa final'!$R$132),"")</f>
        <v/>
      </c>
      <c r="M99" s="49" t="str">
        <f>IF(AND('Mapa final'!$AB$130="Alta",'Mapa final'!$AD$130="Menor"),CONCATENATE("R44C",'Mapa final'!$R$130),"")</f>
        <v/>
      </c>
      <c r="N99" s="50" t="str">
        <f>IF(AND('Mapa final'!$AB$131="Alta",'Mapa final'!$AD$131="Menor"),CONCATENATE("R44C",'Mapa final'!$R$131),"")</f>
        <v/>
      </c>
      <c r="O99" s="111" t="str">
        <f>IF(AND('Mapa final'!$AB$132="Alta",'Mapa final'!$AD$132="Menor"),CONCATENATE("R44C",'Mapa final'!$R$132),"")</f>
        <v/>
      </c>
      <c r="P99" s="105" t="str">
        <f>IF(AND('Mapa final'!$AB$130="Alta",'Mapa final'!$AD$130="Moderado"),CONCATENATE("R44C",'Mapa final'!$R$130),"")</f>
        <v/>
      </c>
      <c r="Q99" s="42" t="str">
        <f>IF(AND('Mapa final'!$AB$131="Alta",'Mapa final'!$AD$131="Moderado"),CONCATENATE("R44C",'Mapa final'!$R$131),"")</f>
        <v/>
      </c>
      <c r="R99" s="106" t="str">
        <f>IF(AND('Mapa final'!$AB$132="Alta",'Mapa final'!$AD$132="Moderado"),CONCATENATE("R44C",'Mapa final'!$R$132),"")</f>
        <v/>
      </c>
      <c r="S99" s="105" t="str">
        <f>IF(AND('Mapa final'!$AB$130="Alta",'Mapa final'!$AD$130="Mayor"),CONCATENATE("R44C",'Mapa final'!$R$130),"")</f>
        <v/>
      </c>
      <c r="T99" s="42" t="str">
        <f>IF(AND('Mapa final'!$AB$131="Alta",'Mapa final'!$AD$131="Mayor"),CONCATENATE("R44C",'Mapa final'!$R$131),"")</f>
        <v/>
      </c>
      <c r="U99" s="106" t="str">
        <f>IF(AND('Mapa final'!$AB$132="Alta",'Mapa final'!$AD$132="Mayor"),CONCATENATE("R44C",'Mapa final'!$R$132),"")</f>
        <v/>
      </c>
      <c r="V99" s="43" t="str">
        <f>IF(AND('Mapa final'!$AB$130="Alta",'Mapa final'!$AD$130="Catastrófico"),CONCATENATE("R44C",'Mapa final'!$R$130),"")</f>
        <v/>
      </c>
      <c r="W99" s="44" t="str">
        <f>IF(AND('Mapa final'!$AB$131="Alta",'Mapa final'!$AD$131="Catastrófico"),CONCATENATE("R44C",'Mapa final'!$R$131),"")</f>
        <v/>
      </c>
      <c r="X99" s="100" t="str">
        <f>IF(AND('Mapa final'!$AB$132="Alta",'Mapa final'!$AD$132="Catastrófico"),CONCATENATE("R44C",'Mapa final'!$R$132),"")</f>
        <v/>
      </c>
      <c r="Y99" s="56"/>
      <c r="Z99" s="292"/>
      <c r="AA99" s="293"/>
      <c r="AB99" s="293"/>
      <c r="AC99" s="293"/>
      <c r="AD99" s="293"/>
      <c r="AE99" s="294"/>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row>
    <row r="100" spans="1:61" ht="15" customHeight="1" x14ac:dyDescent="0.35">
      <c r="A100" s="56"/>
      <c r="B100" s="307"/>
      <c r="C100" s="307"/>
      <c r="D100" s="308"/>
      <c r="E100" s="284"/>
      <c r="F100" s="297"/>
      <c r="G100" s="297"/>
      <c r="H100" s="297"/>
      <c r="I100" s="279"/>
      <c r="J100" s="49" t="str">
        <f>IF(AND('Mapa final'!$AB$133="Alta",'Mapa final'!$AD$133="Leve"),CONCATENATE("R45C",'Mapa final'!$R$133),"")</f>
        <v/>
      </c>
      <c r="K100" s="50" t="str">
        <f>IF(AND('Mapa final'!$AB$134="Alta",'Mapa final'!$AD$134="Leve"),CONCATENATE("R45C",'Mapa final'!$R$134),"")</f>
        <v/>
      </c>
      <c r="L100" s="111" t="str">
        <f>IF(AND('Mapa final'!$AB$135="Alta",'Mapa final'!$AD$135="Leve"),CONCATENATE("R45C",'Mapa final'!$R$135),"")</f>
        <v/>
      </c>
      <c r="M100" s="49" t="str">
        <f>IF(AND('Mapa final'!$AB$133="Alta",'Mapa final'!$AD$133="Menor"),CONCATENATE("R45C",'Mapa final'!$R$133),"")</f>
        <v/>
      </c>
      <c r="N100" s="50" t="str">
        <f>IF(AND('Mapa final'!$AB$134="Alta",'Mapa final'!$AD$134="Menor"),CONCATENATE("R45C",'Mapa final'!$R$134),"")</f>
        <v/>
      </c>
      <c r="O100" s="111" t="str">
        <f>IF(AND('Mapa final'!$AB$135="Alta",'Mapa final'!$AD$135="Menor"),CONCATENATE("R45C",'Mapa final'!$R$135),"")</f>
        <v/>
      </c>
      <c r="P100" s="105" t="str">
        <f>IF(AND('Mapa final'!$AB$133="Alta",'Mapa final'!$AD$133="Moderado"),CONCATENATE("R45C",'Mapa final'!$R$133),"")</f>
        <v/>
      </c>
      <c r="Q100" s="42" t="str">
        <f>IF(AND('Mapa final'!$AB$134="Alta",'Mapa final'!$AD$134="Moderado"),CONCATENATE("R45C",'Mapa final'!$R$134),"")</f>
        <v/>
      </c>
      <c r="R100" s="106" t="str">
        <f>IF(AND('Mapa final'!$AB$135="Alta",'Mapa final'!$AD$135="Moderado"),CONCATENATE("R45C",'Mapa final'!$R$135),"")</f>
        <v/>
      </c>
      <c r="S100" s="105" t="str">
        <f>IF(AND('Mapa final'!$AB$133="Alta",'Mapa final'!$AD$133="Mayor"),CONCATENATE("R45C",'Mapa final'!$R$133),"")</f>
        <v/>
      </c>
      <c r="T100" s="42" t="str">
        <f>IF(AND('Mapa final'!$AB$134="Alta",'Mapa final'!$AD$134="Mayor"),CONCATENATE("R45C",'Mapa final'!$R$134),"")</f>
        <v/>
      </c>
      <c r="U100" s="106" t="str">
        <f>IF(AND('Mapa final'!$AB$135="Alta",'Mapa final'!$AD$135="Mayor"),CONCATENATE("R45C",'Mapa final'!$R$135),"")</f>
        <v/>
      </c>
      <c r="V100" s="43" t="str">
        <f>IF(AND('Mapa final'!$AB$133="Alta",'Mapa final'!$AD$133="Catastrófico"),CONCATENATE("R45C",'Mapa final'!$R$133),"")</f>
        <v/>
      </c>
      <c r="W100" s="44" t="str">
        <f>IF(AND('Mapa final'!$AB$134="Alta",'Mapa final'!$AD$134="Catastrófico"),CONCATENATE("R45C",'Mapa final'!$R$134),"")</f>
        <v/>
      </c>
      <c r="X100" s="100" t="str">
        <f>IF(AND('Mapa final'!$AB$135="Alta",'Mapa final'!$AD$135="Catastrófico"),CONCATENATE("R45C",'Mapa final'!$R$135),"")</f>
        <v/>
      </c>
      <c r="Y100" s="56"/>
      <c r="Z100" s="292"/>
      <c r="AA100" s="293"/>
      <c r="AB100" s="293"/>
      <c r="AC100" s="293"/>
      <c r="AD100" s="293"/>
      <c r="AE100" s="294"/>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row>
    <row r="101" spans="1:61" ht="15" customHeight="1" x14ac:dyDescent="0.35">
      <c r="A101" s="56"/>
      <c r="B101" s="307"/>
      <c r="C101" s="307"/>
      <c r="D101" s="308"/>
      <c r="E101" s="284"/>
      <c r="F101" s="297"/>
      <c r="G101" s="297"/>
      <c r="H101" s="297"/>
      <c r="I101" s="279"/>
      <c r="J101" s="49" t="str">
        <f>IF(AND('Mapa final'!$AB$136="Alta",'Mapa final'!$AD$136="Leve"),CONCATENATE("R46C",'Mapa final'!$R$136),"")</f>
        <v/>
      </c>
      <c r="K101" s="50" t="str">
        <f>IF(AND('Mapa final'!$AB$137="Alta",'Mapa final'!$AD$137="Leve"),CONCATENATE("R46C",'Mapa final'!$R$137),"")</f>
        <v/>
      </c>
      <c r="L101" s="111" t="str">
        <f>IF(AND('Mapa final'!$AB$138="Alta",'Mapa final'!$AD$138="Leve"),CONCATENATE("R46C",'Mapa final'!$R$138),"")</f>
        <v/>
      </c>
      <c r="M101" s="49" t="str">
        <f>IF(AND('Mapa final'!$AB$136="Alta",'Mapa final'!$AD$136="Menor"),CONCATENATE("R46C",'Mapa final'!$R$136),"")</f>
        <v/>
      </c>
      <c r="N101" s="50" t="str">
        <f>IF(AND('Mapa final'!$AB$137="Alta",'Mapa final'!$AD$137="Menor"),CONCATENATE("R46C",'Mapa final'!$R$137),"")</f>
        <v/>
      </c>
      <c r="O101" s="111" t="str">
        <f>IF(AND('Mapa final'!$AB$138="Alta",'Mapa final'!$AD$138="Menor"),CONCATENATE("R46C",'Mapa final'!$R$138),"")</f>
        <v/>
      </c>
      <c r="P101" s="105" t="str">
        <f>IF(AND('Mapa final'!$AB$136="Alta",'Mapa final'!$AD$136="Moderado"),CONCATENATE("R46C",'Mapa final'!$R$136),"")</f>
        <v/>
      </c>
      <c r="Q101" s="42" t="str">
        <f>IF(AND('Mapa final'!$AB$137="Alta",'Mapa final'!$AD$137="Moderado"),CONCATENATE("R46C",'Mapa final'!$R$137),"")</f>
        <v/>
      </c>
      <c r="R101" s="106" t="str">
        <f>IF(AND('Mapa final'!$AB$138="Alta",'Mapa final'!$AD$138="Moderado"),CONCATENATE("R46C",'Mapa final'!$R$138),"")</f>
        <v/>
      </c>
      <c r="S101" s="105" t="str">
        <f>IF(AND('Mapa final'!$AB$136="Alta",'Mapa final'!$AD$136="Mayor"),CONCATENATE("R46C",'Mapa final'!$R$136),"")</f>
        <v/>
      </c>
      <c r="T101" s="42" t="str">
        <f>IF(AND('Mapa final'!$AB$137="Alta",'Mapa final'!$AD$137="Mayor"),CONCATENATE("R46C",'Mapa final'!$R$137),"")</f>
        <v/>
      </c>
      <c r="U101" s="106" t="str">
        <f>IF(AND('Mapa final'!$AB$138="Alta",'Mapa final'!$AD$138="Mayor"),CONCATENATE("R46C",'Mapa final'!$R$138),"")</f>
        <v/>
      </c>
      <c r="V101" s="43" t="str">
        <f>IF(AND('Mapa final'!$AB$136="Alta",'Mapa final'!$AD$136="Catastrófico"),CONCATENATE("R46C",'Mapa final'!$R$136),"")</f>
        <v/>
      </c>
      <c r="W101" s="44" t="str">
        <f>IF(AND('Mapa final'!$AB$137="Alta",'Mapa final'!$AD$137="Catastrófico"),CONCATENATE("R46C",'Mapa final'!$R$137),"")</f>
        <v/>
      </c>
      <c r="X101" s="100" t="str">
        <f>IF(AND('Mapa final'!$AB$138="Alta",'Mapa final'!$AD$138="Catastrófico"),CONCATENATE("R46C",'Mapa final'!$R$138),"")</f>
        <v/>
      </c>
      <c r="Y101" s="56"/>
      <c r="Z101" s="292"/>
      <c r="AA101" s="293"/>
      <c r="AB101" s="293"/>
      <c r="AC101" s="293"/>
      <c r="AD101" s="293"/>
      <c r="AE101" s="294"/>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row>
    <row r="102" spans="1:61" ht="15" customHeight="1" x14ac:dyDescent="0.35">
      <c r="A102" s="56"/>
      <c r="B102" s="307"/>
      <c r="C102" s="307"/>
      <c r="D102" s="308"/>
      <c r="E102" s="284"/>
      <c r="F102" s="297"/>
      <c r="G102" s="297"/>
      <c r="H102" s="297"/>
      <c r="I102" s="279"/>
      <c r="J102" s="49" t="str">
        <f>IF(AND('Mapa final'!$AB$139="Alta",'Mapa final'!$AD$139="Leve"),CONCATENATE("R47C",'Mapa final'!$R$139),"")</f>
        <v/>
      </c>
      <c r="K102" s="50" t="str">
        <f>IF(AND('Mapa final'!$AB$140="Alta",'Mapa final'!$AD$140="Leve"),CONCATENATE("R47C",'Mapa final'!$R$140),"")</f>
        <v/>
      </c>
      <c r="L102" s="111" t="str">
        <f>IF(AND('Mapa final'!$AB$141="Alta",'Mapa final'!$AD$141="Leve"),CONCATENATE("R47C",'Mapa final'!$R$141),"")</f>
        <v/>
      </c>
      <c r="M102" s="49" t="str">
        <f>IF(AND('Mapa final'!$AB$139="Alta",'Mapa final'!$AD$139="Menor"),CONCATENATE("R47C",'Mapa final'!$R$139),"")</f>
        <v/>
      </c>
      <c r="N102" s="50" t="str">
        <f>IF(AND('Mapa final'!$AB$140="Alta",'Mapa final'!$AD$140="Menor"),CONCATENATE("R47C",'Mapa final'!$R$140),"")</f>
        <v/>
      </c>
      <c r="O102" s="111" t="str">
        <f>IF(AND('Mapa final'!$AB$141="Alta",'Mapa final'!$AD$141="Menor"),CONCATENATE("R47C",'Mapa final'!$R$141),"")</f>
        <v/>
      </c>
      <c r="P102" s="105" t="str">
        <f>IF(AND('Mapa final'!$AB$139="Alta",'Mapa final'!$AD$139="Moderado"),CONCATENATE("R47C",'Mapa final'!$R$139),"")</f>
        <v/>
      </c>
      <c r="Q102" s="42" t="str">
        <f>IF(AND('Mapa final'!$AB$140="Alta",'Mapa final'!$AD$140="Moderado"),CONCATENATE("R47C",'Mapa final'!$R$140),"")</f>
        <v/>
      </c>
      <c r="R102" s="106" t="str">
        <f>IF(AND('Mapa final'!$AB$141="Alta",'Mapa final'!$AD$141="Moderado"),CONCATENATE("R47C",'Mapa final'!$R$141),"")</f>
        <v/>
      </c>
      <c r="S102" s="105" t="str">
        <f>IF(AND('Mapa final'!$AB$139="Alta",'Mapa final'!$AD$139="Mayor"),CONCATENATE("R47C",'Mapa final'!$R$139),"")</f>
        <v/>
      </c>
      <c r="T102" s="42" t="str">
        <f>IF(AND('Mapa final'!$AB$140="Alta",'Mapa final'!$AD$140="Mayor"),CONCATENATE("R47C",'Mapa final'!$R$140),"")</f>
        <v/>
      </c>
      <c r="U102" s="106" t="str">
        <f>IF(AND('Mapa final'!$AB$141="Alta",'Mapa final'!$AD$141="Mayor"),CONCATENATE("R47C",'Mapa final'!$R$141),"")</f>
        <v/>
      </c>
      <c r="V102" s="43" t="str">
        <f>IF(AND('Mapa final'!$AB$139="Alta",'Mapa final'!$AD$139="Catastrófico"),CONCATENATE("R47C",'Mapa final'!$R$139),"")</f>
        <v/>
      </c>
      <c r="W102" s="44" t="str">
        <f>IF(AND('Mapa final'!$AB$140="Alta",'Mapa final'!$AD$140="Catastrófico"),CONCATENATE("R47C",'Mapa final'!$R$140),"")</f>
        <v/>
      </c>
      <c r="X102" s="100" t="str">
        <f>IF(AND('Mapa final'!$AB$141="Alta",'Mapa final'!$AD$141="Catastrófico"),CONCATENATE("R47C",'Mapa final'!$R$141),"")</f>
        <v/>
      </c>
      <c r="Y102" s="56"/>
      <c r="Z102" s="292"/>
      <c r="AA102" s="293"/>
      <c r="AB102" s="293"/>
      <c r="AC102" s="293"/>
      <c r="AD102" s="293"/>
      <c r="AE102" s="294"/>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row>
    <row r="103" spans="1:61" ht="15" customHeight="1" x14ac:dyDescent="0.35">
      <c r="A103" s="56"/>
      <c r="B103" s="307"/>
      <c r="C103" s="307"/>
      <c r="D103" s="308"/>
      <c r="E103" s="284"/>
      <c r="F103" s="297"/>
      <c r="G103" s="297"/>
      <c r="H103" s="297"/>
      <c r="I103" s="279"/>
      <c r="J103" s="49" t="str">
        <f>IF(AND('Mapa final'!$AB$142="Alta",'Mapa final'!$AD$142="Leve"),CONCATENATE("R48C",'Mapa final'!$R$142),"")</f>
        <v/>
      </c>
      <c r="K103" s="50" t="str">
        <f>IF(AND('Mapa final'!$AB$143="Alta",'Mapa final'!$AD$143="Leve"),CONCATENATE("R48C",'Mapa final'!$R$143),"")</f>
        <v/>
      </c>
      <c r="L103" s="111" t="str">
        <f>IF(AND('Mapa final'!$AB$144="Alta",'Mapa final'!$AD$144="Leve"),CONCATENATE("R48C",'Mapa final'!$R$144),"")</f>
        <v/>
      </c>
      <c r="M103" s="49" t="str">
        <f>IF(AND('Mapa final'!$AB$142="Alta",'Mapa final'!$AD$142="Menor"),CONCATENATE("R48C",'Mapa final'!$R$142),"")</f>
        <v/>
      </c>
      <c r="N103" s="50" t="str">
        <f>IF(AND('Mapa final'!$AB$143="Alta",'Mapa final'!$AD$143="Menor"),CONCATENATE("R48C",'Mapa final'!$R$143),"")</f>
        <v/>
      </c>
      <c r="O103" s="111" t="str">
        <f>IF(AND('Mapa final'!$AB$144="Alta",'Mapa final'!$AD$144="Menor"),CONCATENATE("R48C",'Mapa final'!$R$144),"")</f>
        <v/>
      </c>
      <c r="P103" s="105" t="str">
        <f>IF(AND('Mapa final'!$AB$142="Alta",'Mapa final'!$AD$142="Moderado"),CONCATENATE("R48C",'Mapa final'!$R$142),"")</f>
        <v/>
      </c>
      <c r="Q103" s="42" t="str">
        <f>IF(AND('Mapa final'!$AB$143="Alta",'Mapa final'!$AD$143="Moderado"),CONCATENATE("R48C",'Mapa final'!$R$143),"")</f>
        <v/>
      </c>
      <c r="R103" s="106" t="str">
        <f>IF(AND('Mapa final'!$AB$144="Alta",'Mapa final'!$AD$144="Moderado"),CONCATENATE("R48C",'Mapa final'!$R$144),"")</f>
        <v/>
      </c>
      <c r="S103" s="105" t="str">
        <f>IF(AND('Mapa final'!$AB$142="Alta",'Mapa final'!$AD$142="Mayor"),CONCATENATE("R48C",'Mapa final'!$R$142),"")</f>
        <v/>
      </c>
      <c r="T103" s="42" t="str">
        <f>IF(AND('Mapa final'!$AB$143="Alta",'Mapa final'!$AD$143="Mayor"),CONCATENATE("R48C",'Mapa final'!$R$143),"")</f>
        <v/>
      </c>
      <c r="U103" s="106" t="str">
        <f>IF(AND('Mapa final'!$AB$144="Alta",'Mapa final'!$AD$144="Mayor"),CONCATENATE("R48C",'Mapa final'!$R$144),"")</f>
        <v/>
      </c>
      <c r="V103" s="43" t="str">
        <f>IF(AND('Mapa final'!$AB$142="Alta",'Mapa final'!$AD$142="Catastrófico"),CONCATENATE("R48C",'Mapa final'!$R$142),"")</f>
        <v/>
      </c>
      <c r="W103" s="44" t="str">
        <f>IF(AND('Mapa final'!$AB$143="Alta",'Mapa final'!$AD$143="Catastrófico"),CONCATENATE("R48C",'Mapa final'!$R$143),"")</f>
        <v/>
      </c>
      <c r="X103" s="100" t="str">
        <f>IF(AND('Mapa final'!$AB$144="Alta",'Mapa final'!$AD$144="Catastrófico"),CONCATENATE("R48C",'Mapa final'!$R$144),"")</f>
        <v/>
      </c>
      <c r="Y103" s="56"/>
      <c r="Z103" s="292"/>
      <c r="AA103" s="293"/>
      <c r="AB103" s="293"/>
      <c r="AC103" s="293"/>
      <c r="AD103" s="293"/>
      <c r="AE103" s="294"/>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row>
    <row r="104" spans="1:61" ht="15" customHeight="1" x14ac:dyDescent="0.35">
      <c r="A104" s="56"/>
      <c r="B104" s="307"/>
      <c r="C104" s="307"/>
      <c r="D104" s="308"/>
      <c r="E104" s="284"/>
      <c r="F104" s="297"/>
      <c r="G104" s="297"/>
      <c r="H104" s="297"/>
      <c r="I104" s="279"/>
      <c r="J104" s="49" t="str">
        <f>IF(AND('Mapa final'!$AB$145="Alta",'Mapa final'!$AD$145="Leve"),CONCATENATE("R49C",'Mapa final'!$R$145),"")</f>
        <v/>
      </c>
      <c r="K104" s="50" t="str">
        <f>IF(AND('Mapa final'!$AB$146="Alta",'Mapa final'!$AD$146="Leve"),CONCATENATE("R49C",'Mapa final'!$R$146),"")</f>
        <v/>
      </c>
      <c r="L104" s="111" t="str">
        <f>IF(AND('Mapa final'!$AB$147="Alta",'Mapa final'!$AD$147="Leve"),CONCATENATE("R49C",'Mapa final'!$R$147),"")</f>
        <v/>
      </c>
      <c r="M104" s="49" t="str">
        <f>IF(AND('Mapa final'!$AB$145="Alta",'Mapa final'!$AD$145="Menor"),CONCATENATE("R49C",'Mapa final'!$R$145),"")</f>
        <v/>
      </c>
      <c r="N104" s="50" t="str">
        <f>IF(AND('Mapa final'!$AB$146="Alta",'Mapa final'!$AD$146="Menor"),CONCATENATE("R49C",'Mapa final'!$R$146),"")</f>
        <v/>
      </c>
      <c r="O104" s="111" t="str">
        <f>IF(AND('Mapa final'!$AB$147="Alta",'Mapa final'!$AD$147="Menor"),CONCATENATE("R49C",'Mapa final'!$R$147),"")</f>
        <v/>
      </c>
      <c r="P104" s="105" t="str">
        <f>IF(AND('Mapa final'!$AB$145="Alta",'Mapa final'!$AD$145="Moderado"),CONCATENATE("R49C",'Mapa final'!$R$145),"")</f>
        <v/>
      </c>
      <c r="Q104" s="42" t="str">
        <f>IF(AND('Mapa final'!$AB$146="Alta",'Mapa final'!$AD$146="Moderado"),CONCATENATE("R49C",'Mapa final'!$R$146),"")</f>
        <v/>
      </c>
      <c r="R104" s="106" t="str">
        <f>IF(AND('Mapa final'!$AB$147="Alta",'Mapa final'!$AD$147="Moderado"),CONCATENATE("R49C",'Mapa final'!$R$147),"")</f>
        <v/>
      </c>
      <c r="S104" s="105" t="str">
        <f>IF(AND('Mapa final'!$AB$145="Alta",'Mapa final'!$AD$145="Mayor"),CONCATENATE("R49C",'Mapa final'!$R$145),"")</f>
        <v/>
      </c>
      <c r="T104" s="42" t="str">
        <f>IF(AND('Mapa final'!$AB$146="Alta",'Mapa final'!$AD$146="Mayor"),CONCATENATE("R49C",'Mapa final'!$R$146),"")</f>
        <v/>
      </c>
      <c r="U104" s="106" t="str">
        <f>IF(AND('Mapa final'!$AB$147="Alta",'Mapa final'!$AD$147="Mayor"),CONCATENATE("R49C",'Mapa final'!$R$147),"")</f>
        <v/>
      </c>
      <c r="V104" s="43" t="str">
        <f>IF(AND('Mapa final'!$AB$145="Alta",'Mapa final'!$AD$145="Catastrófico"),CONCATENATE("R49C",'Mapa final'!$R$145),"")</f>
        <v/>
      </c>
      <c r="W104" s="44" t="str">
        <f>IF(AND('Mapa final'!$AB$146="Alta",'Mapa final'!$AD$146="Catastrófico"),CONCATENATE("R49C",'Mapa final'!$R$146),"")</f>
        <v/>
      </c>
      <c r="X104" s="100" t="str">
        <f>IF(AND('Mapa final'!$AB$147="Alta",'Mapa final'!$AD$147="Catastrófico"),CONCATENATE("R49C",'Mapa final'!$R$147),"")</f>
        <v/>
      </c>
      <c r="Y104" s="56"/>
      <c r="Z104" s="292"/>
      <c r="AA104" s="293"/>
      <c r="AB104" s="293"/>
      <c r="AC104" s="293"/>
      <c r="AD104" s="293"/>
      <c r="AE104" s="294"/>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row>
    <row r="105" spans="1:61" ht="15" customHeight="1" thickBot="1" x14ac:dyDescent="0.4">
      <c r="A105" s="56"/>
      <c r="B105" s="307"/>
      <c r="C105" s="307"/>
      <c r="D105" s="308"/>
      <c r="E105" s="284"/>
      <c r="F105" s="297"/>
      <c r="G105" s="297"/>
      <c r="H105" s="297"/>
      <c r="I105" s="279"/>
      <c r="J105" s="51" t="str">
        <f>IF(AND('Mapa final'!$AB$148="Alta",'Mapa final'!$AD$148="Leve"),CONCATENATE("R50C",'Mapa final'!$R$148),"")</f>
        <v/>
      </c>
      <c r="K105" s="52" t="str">
        <f>IF(AND('Mapa final'!$AB$149="Alta",'Mapa final'!$AD$149="Leve"),CONCATENATE("R50C",'Mapa final'!$R$149),"")</f>
        <v/>
      </c>
      <c r="L105" s="112" t="str">
        <f>IF(AND('Mapa final'!$AB$150="Alta",'Mapa final'!$AD$150="Leve"),CONCATENATE("R50C",'Mapa final'!$R$150),"")</f>
        <v/>
      </c>
      <c r="M105" s="51" t="str">
        <f>IF(AND('Mapa final'!$AB$148="Alta",'Mapa final'!$AD$148="Menor"),CONCATENATE("R50C",'Mapa final'!$R$148),"")</f>
        <v/>
      </c>
      <c r="N105" s="52" t="str">
        <f>IF(AND('Mapa final'!$AB$149="Alta",'Mapa final'!$AD$149="Menor"),CONCATENATE("R50C",'Mapa final'!$R$149),"")</f>
        <v/>
      </c>
      <c r="O105" s="112" t="str">
        <f>IF(AND('Mapa final'!$AB$150="Alta",'Mapa final'!$AD$150="Menor"),CONCATENATE("R50C",'Mapa final'!$R$150),"")</f>
        <v/>
      </c>
      <c r="P105" s="105" t="str">
        <f>IF(AND('Mapa final'!$AB$148="Alta",'Mapa final'!$AD$148="Moderado"),CONCATENATE("R50C",'Mapa final'!$R$148),"")</f>
        <v/>
      </c>
      <c r="Q105" s="42" t="str">
        <f>IF(AND('Mapa final'!$AB$149="Alta",'Mapa final'!$AD$149="Moderado"),CONCATENATE("R50C",'Mapa final'!$R$149),"")</f>
        <v/>
      </c>
      <c r="R105" s="106" t="str">
        <f>IF(AND('Mapa final'!$AB$150="Alta",'Mapa final'!$AD$150="Moderado"),CONCATENATE("R50C",'Mapa final'!$R$150),"")</f>
        <v/>
      </c>
      <c r="S105" s="107" t="str">
        <f>IF(AND('Mapa final'!$AB$148="Alta",'Mapa final'!$AD$148="Mayor"),CONCATENATE("R50C",'Mapa final'!$R$148),"")</f>
        <v/>
      </c>
      <c r="T105" s="108" t="str">
        <f>IF(AND('Mapa final'!$AB$149="Alta",'Mapa final'!$AD$149="Mayor"),CONCATENATE("R50C",'Mapa final'!$R$149),"")</f>
        <v/>
      </c>
      <c r="U105" s="109" t="str">
        <f>IF(AND('Mapa final'!$AB$150="Alta",'Mapa final'!$AD$150="Mayor"),CONCATENATE("R50C",'Mapa final'!$R$150),"")</f>
        <v/>
      </c>
      <c r="V105" s="45" t="str">
        <f>IF(AND('Mapa final'!$AB$148="Alta",'Mapa final'!$AD$148="Catastrófico"),CONCATENATE("R50C",'Mapa final'!$R$148),"")</f>
        <v/>
      </c>
      <c r="W105" s="46" t="str">
        <f>IF(AND('Mapa final'!$AB$149="Alta",'Mapa final'!$AD$149="Catastrófico"),CONCATENATE("R50C",'Mapa final'!$R$149),"")</f>
        <v/>
      </c>
      <c r="X105" s="101" t="str">
        <f>IF(AND('Mapa final'!$AB$150="Alta",'Mapa final'!$AD$150="Catastrófico"),CONCATENATE("R50C",'Mapa final'!$R$150),"")</f>
        <v/>
      </c>
      <c r="Y105" s="56"/>
      <c r="Z105" s="292"/>
      <c r="AA105" s="293"/>
      <c r="AB105" s="293"/>
      <c r="AC105" s="293"/>
      <c r="AD105" s="293"/>
      <c r="AE105" s="294"/>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row>
    <row r="106" spans="1:61" ht="15" customHeight="1" x14ac:dyDescent="0.35">
      <c r="A106" s="56"/>
      <c r="B106" s="307"/>
      <c r="C106" s="307"/>
      <c r="D106" s="308"/>
      <c r="E106" s="295" t="s">
        <v>108</v>
      </c>
      <c r="F106" s="296"/>
      <c r="G106" s="296"/>
      <c r="H106" s="296"/>
      <c r="I106" s="296"/>
      <c r="J106" s="47" t="str">
        <f>IF(AND('Mapa final'!$AB$7="Media",'Mapa final'!$AD$7="Leve"),CONCATENATE("R1C",'Mapa final'!$R$7),"")</f>
        <v/>
      </c>
      <c r="K106" s="48" t="str">
        <f>IF(AND('Mapa final'!$AB$8="Media",'Mapa final'!$AD$8="Leve"),CONCATENATE("R1C",'Mapa final'!$R$8),"")</f>
        <v/>
      </c>
      <c r="L106" s="110" t="str">
        <f>IF(AND('Mapa final'!$AB$9="Media",'Mapa final'!$AD$9="Leve"),CONCATENATE("R1C",'Mapa final'!$R$9),"")</f>
        <v/>
      </c>
      <c r="M106" s="47" t="str">
        <f>IF(AND('Mapa final'!$AB$7="Media",'Mapa final'!$AD$7="Menor"),CONCATENATE("R1C",'Mapa final'!$R$7),"")</f>
        <v/>
      </c>
      <c r="N106" s="48" t="str">
        <f>IF(AND('Mapa final'!$AB$8="Media",'Mapa final'!$AD$8="Menor"),CONCATENATE("R1C",'Mapa final'!$R$8),"")</f>
        <v/>
      </c>
      <c r="O106" s="110" t="str">
        <f>IF(AND('Mapa final'!$AB$9="Media",'Mapa final'!$AD$9="Menor"),CONCATENATE("R1C",'Mapa final'!$R$9),"")</f>
        <v/>
      </c>
      <c r="P106" s="47" t="str">
        <f>IF(AND('Mapa final'!$AB$7="Media",'Mapa final'!$AD$7="Moderado"),CONCATENATE("R1C",'Mapa final'!$R$7),"")</f>
        <v/>
      </c>
      <c r="Q106" s="48" t="str">
        <f>IF(AND('Mapa final'!$AB$8="Media",'Mapa final'!$AD$8="Moderado"),CONCATENATE("R1C",'Mapa final'!$R$8),"")</f>
        <v/>
      </c>
      <c r="R106" s="110" t="str">
        <f>IF(AND('Mapa final'!$AB$9="Media",'Mapa final'!$AD$9="Moderado"),CONCATENATE("R1C",'Mapa final'!$R$9),"")</f>
        <v/>
      </c>
      <c r="S106" s="102" t="str">
        <f>IF(AND('Mapa final'!$AB$7="Media",'Mapa final'!$AD$7="Mayor"),CONCATENATE("R1C",'Mapa final'!$R$7),"")</f>
        <v/>
      </c>
      <c r="T106" s="103" t="str">
        <f>IF(AND('Mapa final'!$AB$8="Media",'Mapa final'!$AD$8="Mayor"),CONCATENATE("R1C",'Mapa final'!$R$8),"")</f>
        <v/>
      </c>
      <c r="U106" s="104" t="str">
        <f>IF(AND('Mapa final'!$AB$9="Media",'Mapa final'!$AD$9="Mayor"),CONCATENATE("R1C",'Mapa final'!$R$9),"")</f>
        <v/>
      </c>
      <c r="V106" s="40" t="str">
        <f>IF(AND('Mapa final'!$AB$7="Media",'Mapa final'!$AD$7="Catastrófico"),CONCATENATE("R1C",'Mapa final'!$R$7),"")</f>
        <v/>
      </c>
      <c r="W106" s="41" t="str">
        <f>IF(AND('Mapa final'!$AB$8="Media",'Mapa final'!$AD$8="Catastrófico"),CONCATENATE("R1C",'Mapa final'!$R$8),"")</f>
        <v/>
      </c>
      <c r="X106" s="99" t="str">
        <f>IF(AND('Mapa final'!$AB$9="Media",'Mapa final'!$AD$9="Catastrófico"),CONCATENATE("R1C",'Mapa final'!$R$9),"")</f>
        <v/>
      </c>
      <c r="Y106" s="56"/>
      <c r="Z106" s="315" t="s">
        <v>75</v>
      </c>
      <c r="AA106" s="316"/>
      <c r="AB106" s="316"/>
      <c r="AC106" s="316"/>
      <c r="AD106" s="316"/>
      <c r="AE106" s="317"/>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row>
    <row r="107" spans="1:61" ht="15" customHeight="1" x14ac:dyDescent="0.35">
      <c r="A107" s="56"/>
      <c r="B107" s="307"/>
      <c r="C107" s="307"/>
      <c r="D107" s="308"/>
      <c r="E107" s="283"/>
      <c r="F107" s="279"/>
      <c r="G107" s="279"/>
      <c r="H107" s="279"/>
      <c r="I107" s="279"/>
      <c r="J107" s="49" t="str">
        <f>IF(AND('Mapa final'!$AB$10="Media",'Mapa final'!$AD$10="Leve"),CONCATENATE("R2C",'Mapa final'!$R$10),"")</f>
        <v/>
      </c>
      <c r="K107" s="50" t="str">
        <f>IF(AND('Mapa final'!$AB$11="Media",'Mapa final'!$AD$11="Leve"),CONCATENATE("R2C",'Mapa final'!$R$11),"")</f>
        <v/>
      </c>
      <c r="L107" s="111" t="str">
        <f>IF(AND('Mapa final'!$AB$12="Media",'Mapa final'!$AD$12="Leve"),CONCATENATE("R2C",'Mapa final'!$R$12),"")</f>
        <v/>
      </c>
      <c r="M107" s="49" t="str">
        <f>IF(AND('Mapa final'!$AB$10="Media",'Mapa final'!$AD$10="Menor"),CONCATENATE("R2C",'Mapa final'!$R$10),"")</f>
        <v/>
      </c>
      <c r="N107" s="50" t="str">
        <f>IF(AND('Mapa final'!$AB$11="Media",'Mapa final'!$AD$11="Menor"),CONCATENATE("R2C",'Mapa final'!$R$11),"")</f>
        <v/>
      </c>
      <c r="O107" s="111" t="str">
        <f>IF(AND('Mapa final'!$AB$12="Media",'Mapa final'!$AD$12="Menor"),CONCATENATE("R2C",'Mapa final'!$R$12),"")</f>
        <v/>
      </c>
      <c r="P107" s="49" t="str">
        <f>IF(AND('Mapa final'!$AB$10="Media",'Mapa final'!$AD$10="Moderado"),CONCATENATE("R2C",'Mapa final'!$R$10),"")</f>
        <v/>
      </c>
      <c r="Q107" s="50" t="str">
        <f>IF(AND('Mapa final'!$AB$11="Media",'Mapa final'!$AD$11="Moderado"),CONCATENATE("R2C",'Mapa final'!$R$11),"")</f>
        <v/>
      </c>
      <c r="R107" s="111" t="str">
        <f>IF(AND('Mapa final'!$AB$12="Media",'Mapa final'!$AD$12="Moderado"),CONCATENATE("R2C",'Mapa final'!$R$12),"")</f>
        <v/>
      </c>
      <c r="S107" s="105" t="str">
        <f>IF(AND('Mapa final'!$AB$10="Media",'Mapa final'!$AD$10="Mayor"),CONCATENATE("R2C",'Mapa final'!$R$10),"")</f>
        <v/>
      </c>
      <c r="T107" s="42" t="str">
        <f>IF(AND('Mapa final'!$AB$11="Media",'Mapa final'!$AD$11="Mayor"),CONCATENATE("R2C",'Mapa final'!$R$11),"")</f>
        <v/>
      </c>
      <c r="U107" s="106" t="str">
        <f>IF(AND('Mapa final'!$AB$12="Media",'Mapa final'!$AD$12="Mayor"),CONCATENATE("R2C",'Mapa final'!$R$12),"")</f>
        <v/>
      </c>
      <c r="V107" s="43" t="str">
        <f>IF(AND('Mapa final'!$AB$10="Media",'Mapa final'!$AD$10="Catastrófico"),CONCATENATE("R2C",'Mapa final'!$R$10),"")</f>
        <v/>
      </c>
      <c r="W107" s="44" t="str">
        <f>IF(AND('Mapa final'!$AB$11="Media",'Mapa final'!$AD$11="Catastrófico"),CONCATENATE("R2C",'Mapa final'!$R$11),"")</f>
        <v/>
      </c>
      <c r="X107" s="100" t="str">
        <f>IF(AND('Mapa final'!$AB$12="Media",'Mapa final'!$AD$12="Catastrófico"),CONCATENATE("R2C",'Mapa final'!$R$12),"")</f>
        <v/>
      </c>
      <c r="Y107" s="56"/>
      <c r="Z107" s="318"/>
      <c r="AA107" s="319"/>
      <c r="AB107" s="319"/>
      <c r="AC107" s="319"/>
      <c r="AD107" s="319"/>
      <c r="AE107" s="320"/>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row>
    <row r="108" spans="1:61" ht="15" customHeight="1" x14ac:dyDescent="0.35">
      <c r="A108" s="56"/>
      <c r="B108" s="307"/>
      <c r="C108" s="307"/>
      <c r="D108" s="308"/>
      <c r="E108" s="284"/>
      <c r="F108" s="297"/>
      <c r="G108" s="297"/>
      <c r="H108" s="297"/>
      <c r="I108" s="279"/>
      <c r="J108" s="49" t="str">
        <f>IF(AND('Mapa final'!$AB$13="Media",'Mapa final'!$AD$13="Leve"),CONCATENATE("R3C",'Mapa final'!$R$13),"")</f>
        <v/>
      </c>
      <c r="K108" s="50" t="str">
        <f>IF(AND('Mapa final'!$AB$14="Media",'Mapa final'!$AD$14="Leve"),CONCATENATE("R3C",'Mapa final'!$R$14),"")</f>
        <v/>
      </c>
      <c r="L108" s="111" t="str">
        <f>IF(AND('Mapa final'!$AB$15="Media",'Mapa final'!$AD$15="Leve"),CONCATENATE("R3C",'Mapa final'!$R$15),"")</f>
        <v/>
      </c>
      <c r="M108" s="49" t="str">
        <f>IF(AND('Mapa final'!$AB$13="Media",'Mapa final'!$AD$13="Menor"),CONCATENATE("R3C",'Mapa final'!$R$13),"")</f>
        <v/>
      </c>
      <c r="N108" s="50" t="str">
        <f>IF(AND('Mapa final'!$AB$14="Media",'Mapa final'!$AD$14="Menor"),CONCATENATE("R3C",'Mapa final'!$R$14),"")</f>
        <v/>
      </c>
      <c r="O108" s="111" t="str">
        <f>IF(AND('Mapa final'!$AB$15="Media",'Mapa final'!$AD$15="Menor"),CONCATENATE("R3C",'Mapa final'!$R$15),"")</f>
        <v/>
      </c>
      <c r="P108" s="49" t="str">
        <f>IF(AND('Mapa final'!$AB$13="Media",'Mapa final'!$AD$13="Moderado"),CONCATENATE("R3C",'Mapa final'!$R$13),"")</f>
        <v>R3C1</v>
      </c>
      <c r="Q108" s="50" t="str">
        <f>IF(AND('Mapa final'!$AB$14="Media",'Mapa final'!$AD$14="Moderado"),CONCATENATE("R3C",'Mapa final'!$R$14),"")</f>
        <v/>
      </c>
      <c r="R108" s="111" t="str">
        <f>IF(AND('Mapa final'!$AB$15="Media",'Mapa final'!$AD$15="Moderado"),CONCATENATE("R3C",'Mapa final'!$R$15),"")</f>
        <v/>
      </c>
      <c r="S108" s="105" t="str">
        <f>IF(AND('Mapa final'!$AB$13="Media",'Mapa final'!$AD$13="Mayor"),CONCATENATE("R3C",'Mapa final'!$R$13),"")</f>
        <v/>
      </c>
      <c r="T108" s="42" t="str">
        <f>IF(AND('Mapa final'!$AB$14="Media",'Mapa final'!$AD$14="Mayor"),CONCATENATE("R3C",'Mapa final'!$R$14),"")</f>
        <v/>
      </c>
      <c r="U108" s="106" t="str">
        <f>IF(AND('Mapa final'!$AB$15="Media",'Mapa final'!$AD$15="Mayor"),CONCATENATE("R3C",'Mapa final'!$R$15),"")</f>
        <v/>
      </c>
      <c r="V108" s="43" t="str">
        <f>IF(AND('Mapa final'!$AB$13="Media",'Mapa final'!$AD$13="Catastrófico"),CONCATENATE("R3C",'Mapa final'!$R$13),"")</f>
        <v/>
      </c>
      <c r="W108" s="44" t="str">
        <f>IF(AND('Mapa final'!$AB$14="Media",'Mapa final'!$AD$14="Catastrófico"),CONCATENATE("R3C",'Mapa final'!$R$14),"")</f>
        <v/>
      </c>
      <c r="X108" s="100" t="str">
        <f>IF(AND('Mapa final'!$AB$15="Media",'Mapa final'!$AD$15="Catastrófico"),CONCATENATE("R3C",'Mapa final'!$R$15),"")</f>
        <v/>
      </c>
      <c r="Y108" s="56"/>
      <c r="Z108" s="318"/>
      <c r="AA108" s="319"/>
      <c r="AB108" s="319"/>
      <c r="AC108" s="319"/>
      <c r="AD108" s="319"/>
      <c r="AE108" s="320"/>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row>
    <row r="109" spans="1:61" ht="15" customHeight="1" x14ac:dyDescent="0.35">
      <c r="A109" s="56"/>
      <c r="B109" s="307"/>
      <c r="C109" s="307"/>
      <c r="D109" s="308"/>
      <c r="E109" s="284"/>
      <c r="F109" s="297"/>
      <c r="G109" s="297"/>
      <c r="H109" s="297"/>
      <c r="I109" s="279"/>
      <c r="J109" s="49" t="e">
        <f>IF(AND('Mapa final'!#REF!="Media",'Mapa final'!#REF!="Leve"),CONCATENATE("R4C",'Mapa final'!#REF!),"")</f>
        <v>#REF!</v>
      </c>
      <c r="K109" s="50" t="e">
        <f>IF(AND('Mapa final'!#REF!="Media",'Mapa final'!#REF!="Leve"),CONCATENATE("R4C",'Mapa final'!#REF!),"")</f>
        <v>#REF!</v>
      </c>
      <c r="L109" s="111" t="e">
        <f>IF(AND('Mapa final'!#REF!="Media",'Mapa final'!#REF!="Leve"),CONCATENATE("R4C",'Mapa final'!#REF!),"")</f>
        <v>#REF!</v>
      </c>
      <c r="M109" s="49" t="e">
        <f>IF(AND('Mapa final'!#REF!="Media",'Mapa final'!#REF!="Menor"),CONCATENATE("R4C",'Mapa final'!#REF!),"")</f>
        <v>#REF!</v>
      </c>
      <c r="N109" s="50" t="e">
        <f>IF(AND('Mapa final'!#REF!="Media",'Mapa final'!#REF!="Menor"),CONCATENATE("R4C",'Mapa final'!#REF!),"")</f>
        <v>#REF!</v>
      </c>
      <c r="O109" s="111" t="e">
        <f>IF(AND('Mapa final'!#REF!="Media",'Mapa final'!#REF!="Menor"),CONCATENATE("R4C",'Mapa final'!#REF!),"")</f>
        <v>#REF!</v>
      </c>
      <c r="P109" s="49" t="e">
        <f>IF(AND('Mapa final'!#REF!="Media",'Mapa final'!#REF!="Moderado"),CONCATENATE("R4C",'Mapa final'!#REF!),"")</f>
        <v>#REF!</v>
      </c>
      <c r="Q109" s="50" t="e">
        <f>IF(AND('Mapa final'!#REF!="Media",'Mapa final'!#REF!="Moderado"),CONCATENATE("R4C",'Mapa final'!#REF!),"")</f>
        <v>#REF!</v>
      </c>
      <c r="R109" s="111" t="e">
        <f>IF(AND('Mapa final'!#REF!="Media",'Mapa final'!#REF!="Moderado"),CONCATENATE("R4C",'Mapa final'!#REF!),"")</f>
        <v>#REF!</v>
      </c>
      <c r="S109" s="105" t="e">
        <f>IF(AND('Mapa final'!#REF!="Media",'Mapa final'!#REF!="Mayor"),CONCATENATE("R4C",'Mapa final'!#REF!),"")</f>
        <v>#REF!</v>
      </c>
      <c r="T109" s="42" t="e">
        <f>IF(AND('Mapa final'!#REF!="Media",'Mapa final'!#REF!="Mayor"),CONCATENATE("R4C",'Mapa final'!#REF!),"")</f>
        <v>#REF!</v>
      </c>
      <c r="U109" s="106" t="e">
        <f>IF(AND('Mapa final'!#REF!="Media",'Mapa final'!#REF!="Mayor"),CONCATENATE("R4C",'Mapa final'!#REF!),"")</f>
        <v>#REF!</v>
      </c>
      <c r="V109" s="43" t="e">
        <f>IF(AND('Mapa final'!#REF!="Media",'Mapa final'!#REF!="Catastrófico"),CONCATENATE("R4C",'Mapa final'!#REF!),"")</f>
        <v>#REF!</v>
      </c>
      <c r="W109" s="44" t="e">
        <f>IF(AND('Mapa final'!#REF!="Media",'Mapa final'!#REF!="Catastrófico"),CONCATENATE("R4C",'Mapa final'!#REF!),"")</f>
        <v>#REF!</v>
      </c>
      <c r="X109" s="100" t="e">
        <f>IF(AND('Mapa final'!#REF!="Media",'Mapa final'!#REF!="Catastrófico"),CONCATENATE("R4C",'Mapa final'!#REF!),"")</f>
        <v>#REF!</v>
      </c>
      <c r="Y109" s="56"/>
      <c r="Z109" s="318"/>
      <c r="AA109" s="319"/>
      <c r="AB109" s="319"/>
      <c r="AC109" s="319"/>
      <c r="AD109" s="319"/>
      <c r="AE109" s="320"/>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1:61" ht="15" customHeight="1" x14ac:dyDescent="0.35">
      <c r="A110" s="56"/>
      <c r="B110" s="307"/>
      <c r="C110" s="307"/>
      <c r="D110" s="308"/>
      <c r="E110" s="284"/>
      <c r="F110" s="297"/>
      <c r="G110" s="297"/>
      <c r="H110" s="297"/>
      <c r="I110" s="279"/>
      <c r="J110" s="49" t="e">
        <f>IF(AND('Mapa final'!#REF!="Media",'Mapa final'!#REF!="Leve"),CONCATENATE("R5C",'Mapa final'!#REF!),"")</f>
        <v>#REF!</v>
      </c>
      <c r="K110" s="50" t="e">
        <f>IF(AND('Mapa final'!#REF!="Media",'Mapa final'!#REF!="Leve"),CONCATENATE("R5C",'Mapa final'!#REF!),"")</f>
        <v>#REF!</v>
      </c>
      <c r="L110" s="111" t="e">
        <f>IF(AND('Mapa final'!#REF!="Media",'Mapa final'!#REF!="Leve"),CONCATENATE("R5C",'Mapa final'!#REF!),"")</f>
        <v>#REF!</v>
      </c>
      <c r="M110" s="49" t="e">
        <f>IF(AND('Mapa final'!#REF!="Media",'Mapa final'!#REF!="Menor"),CONCATENATE("R5C",'Mapa final'!#REF!),"")</f>
        <v>#REF!</v>
      </c>
      <c r="N110" s="50" t="e">
        <f>IF(AND('Mapa final'!#REF!="Media",'Mapa final'!#REF!="Menor"),CONCATENATE("R5C",'Mapa final'!#REF!),"")</f>
        <v>#REF!</v>
      </c>
      <c r="O110" s="111" t="e">
        <f>IF(AND('Mapa final'!#REF!="Media",'Mapa final'!#REF!="Menor"),CONCATENATE("R5C",'Mapa final'!#REF!),"")</f>
        <v>#REF!</v>
      </c>
      <c r="P110" s="49" t="e">
        <f>IF(AND('Mapa final'!#REF!="Media",'Mapa final'!#REF!="Moderado"),CONCATENATE("R5C",'Mapa final'!#REF!),"")</f>
        <v>#REF!</v>
      </c>
      <c r="Q110" s="50" t="e">
        <f>IF(AND('Mapa final'!#REF!="Media",'Mapa final'!#REF!="Moderado"),CONCATENATE("R5C",'Mapa final'!#REF!),"")</f>
        <v>#REF!</v>
      </c>
      <c r="R110" s="111" t="e">
        <f>IF(AND('Mapa final'!#REF!="Media",'Mapa final'!#REF!="Moderado"),CONCATENATE("R5C",'Mapa final'!#REF!),"")</f>
        <v>#REF!</v>
      </c>
      <c r="S110" s="105" t="e">
        <f>IF(AND('Mapa final'!#REF!="Media",'Mapa final'!#REF!="Mayor"),CONCATENATE("R5C",'Mapa final'!#REF!),"")</f>
        <v>#REF!</v>
      </c>
      <c r="T110" s="42" t="e">
        <f>IF(AND('Mapa final'!#REF!="Media",'Mapa final'!#REF!="Mayor"),CONCATENATE("R5C",'Mapa final'!#REF!),"")</f>
        <v>#REF!</v>
      </c>
      <c r="U110" s="106" t="e">
        <f>IF(AND('Mapa final'!#REF!="Media",'Mapa final'!#REF!="Mayor"),CONCATENATE("R5C",'Mapa final'!#REF!),"")</f>
        <v>#REF!</v>
      </c>
      <c r="V110" s="43" t="e">
        <f>IF(AND('Mapa final'!#REF!="Media",'Mapa final'!#REF!="Catastrófico"),CONCATENATE("R5C",'Mapa final'!#REF!),"")</f>
        <v>#REF!</v>
      </c>
      <c r="W110" s="44" t="e">
        <f>IF(AND('Mapa final'!#REF!="Media",'Mapa final'!#REF!="Catastrófico"),CONCATENATE("R5C",'Mapa final'!#REF!),"")</f>
        <v>#REF!</v>
      </c>
      <c r="X110" s="100" t="e">
        <f>IF(AND('Mapa final'!#REF!="Media",'Mapa final'!#REF!="Catastrófico"),CONCATENATE("R5C",'Mapa final'!#REF!),"")</f>
        <v>#REF!</v>
      </c>
      <c r="Y110" s="56"/>
      <c r="Z110" s="318"/>
      <c r="AA110" s="319"/>
      <c r="AB110" s="319"/>
      <c r="AC110" s="319"/>
      <c r="AD110" s="319"/>
      <c r="AE110" s="320"/>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row>
    <row r="111" spans="1:61" ht="15" customHeight="1" x14ac:dyDescent="0.35">
      <c r="A111" s="56"/>
      <c r="B111" s="307"/>
      <c r="C111" s="307"/>
      <c r="D111" s="308"/>
      <c r="E111" s="284"/>
      <c r="F111" s="297"/>
      <c r="G111" s="297"/>
      <c r="H111" s="297"/>
      <c r="I111" s="279"/>
      <c r="J111" s="49" t="str">
        <f>IF(AND('Mapa final'!$AB$16="Media",'Mapa final'!$AD$16="Leve"),CONCATENATE("R6C",'Mapa final'!$R$16),"")</f>
        <v/>
      </c>
      <c r="K111" s="50" t="str">
        <f>IF(AND('Mapa final'!$AB$17="Media",'Mapa final'!$AD$17="Leve"),CONCATENATE("R6C",'Mapa final'!$R$17),"")</f>
        <v/>
      </c>
      <c r="L111" s="111" t="str">
        <f>IF(AND('Mapa final'!$AB$18="Media",'Mapa final'!$AD$18="Leve"),CONCATENATE("R6C",'Mapa final'!$R$18),"")</f>
        <v/>
      </c>
      <c r="M111" s="49" t="str">
        <f>IF(AND('Mapa final'!$AB$16="Media",'Mapa final'!$AD$16="Menor"),CONCATENATE("R6C",'Mapa final'!$R$16),"")</f>
        <v/>
      </c>
      <c r="N111" s="50" t="str">
        <f>IF(AND('Mapa final'!$AB$17="Media",'Mapa final'!$AD$17="Menor"),CONCATENATE("R6C",'Mapa final'!$R$17),"")</f>
        <v/>
      </c>
      <c r="O111" s="111" t="str">
        <f>IF(AND('Mapa final'!$AB$18="Media",'Mapa final'!$AD$18="Menor"),CONCATENATE("R6C",'Mapa final'!$R$18),"")</f>
        <v/>
      </c>
      <c r="P111" s="49" t="str">
        <f>IF(AND('Mapa final'!$AB$16="Media",'Mapa final'!$AD$16="Moderado"),CONCATENATE("R6C",'Mapa final'!$R$16),"")</f>
        <v/>
      </c>
      <c r="Q111" s="50" t="str">
        <f>IF(AND('Mapa final'!$AB$17="Media",'Mapa final'!$AD$17="Moderado"),CONCATENATE("R6C",'Mapa final'!$R$17),"")</f>
        <v/>
      </c>
      <c r="R111" s="111" t="str">
        <f>IF(AND('Mapa final'!$AB$18="Media",'Mapa final'!$AD$18="Moderado"),CONCATENATE("R6C",'Mapa final'!$R$18),"")</f>
        <v/>
      </c>
      <c r="S111" s="105" t="str">
        <f>IF(AND('Mapa final'!$AB$16="Media",'Mapa final'!$AD$16="Mayor"),CONCATENATE("R6C",'Mapa final'!$R$16),"")</f>
        <v/>
      </c>
      <c r="T111" s="42" t="str">
        <f>IF(AND('Mapa final'!$AB$17="Media",'Mapa final'!$AD$17="Mayor"),CONCATENATE("R6C",'Mapa final'!$R$17),"")</f>
        <v/>
      </c>
      <c r="U111" s="106" t="str">
        <f>IF(AND('Mapa final'!$AB$18="Media",'Mapa final'!$AD$18="Mayor"),CONCATENATE("R6C",'Mapa final'!$R$18),"")</f>
        <v/>
      </c>
      <c r="V111" s="43" t="str">
        <f>IF(AND('Mapa final'!$AB$16="Media",'Mapa final'!$AD$16="Catastrófico"),CONCATENATE("R6C",'Mapa final'!$R$16),"")</f>
        <v/>
      </c>
      <c r="W111" s="44" t="str">
        <f>IF(AND('Mapa final'!$AB$17="Media",'Mapa final'!$AD$17="Catastrófico"),CONCATENATE("R6C",'Mapa final'!$R$17),"")</f>
        <v/>
      </c>
      <c r="X111" s="100" t="str">
        <f>IF(AND('Mapa final'!$AB$18="Media",'Mapa final'!$AD$18="Catastrófico"),CONCATENATE("R6C",'Mapa final'!$R$18),"")</f>
        <v/>
      </c>
      <c r="Y111" s="56"/>
      <c r="Z111" s="318"/>
      <c r="AA111" s="319"/>
      <c r="AB111" s="319"/>
      <c r="AC111" s="319"/>
      <c r="AD111" s="319"/>
      <c r="AE111" s="320"/>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row>
    <row r="112" spans="1:61" ht="15" customHeight="1" x14ac:dyDescent="0.35">
      <c r="A112" s="56"/>
      <c r="B112" s="307"/>
      <c r="C112" s="307"/>
      <c r="D112" s="308"/>
      <c r="E112" s="284"/>
      <c r="F112" s="297"/>
      <c r="G112" s="297"/>
      <c r="H112" s="297"/>
      <c r="I112" s="279"/>
      <c r="J112" s="49" t="str">
        <f>IF(AND('Mapa final'!$AB$19="Media",'Mapa final'!$AD$19="Leve"),CONCATENATE("R7C",'Mapa final'!$R$19),"")</f>
        <v/>
      </c>
      <c r="K112" s="50" t="str">
        <f>IF(AND('Mapa final'!$AB$20="Media",'Mapa final'!$AD$20="Leve"),CONCATENATE("R7C",'Mapa final'!$R$20),"")</f>
        <v/>
      </c>
      <c r="L112" s="111" t="str">
        <f>IF(AND('Mapa final'!$AB$21="Media",'Mapa final'!$AD$21="Leve"),CONCATENATE("R7C",'Mapa final'!$R$21),"")</f>
        <v/>
      </c>
      <c r="M112" s="49" t="str">
        <f>IF(AND('Mapa final'!$AB$19="Media",'Mapa final'!$AD$19="Menor"),CONCATENATE("R7C",'Mapa final'!$R$19),"")</f>
        <v/>
      </c>
      <c r="N112" s="50" t="str">
        <f>IF(AND('Mapa final'!$AB$20="Media",'Mapa final'!$AD$20="Menor"),CONCATENATE("R7C",'Mapa final'!$R$20),"")</f>
        <v/>
      </c>
      <c r="O112" s="111" t="str">
        <f>IF(AND('Mapa final'!$AB$21="Media",'Mapa final'!$AD$21="Menor"),CONCATENATE("R7C",'Mapa final'!$R$21),"")</f>
        <v/>
      </c>
      <c r="P112" s="49" t="str">
        <f>IF(AND('Mapa final'!$AB$19="Media",'Mapa final'!$AD$19="Moderado"),CONCATENATE("R7C",'Mapa final'!$R$19),"")</f>
        <v/>
      </c>
      <c r="Q112" s="50" t="str">
        <f>IF(AND('Mapa final'!$AB$20="Media",'Mapa final'!$AD$20="Moderado"),CONCATENATE("R7C",'Mapa final'!$R$20),"")</f>
        <v/>
      </c>
      <c r="R112" s="111" t="str">
        <f>IF(AND('Mapa final'!$AB$21="Media",'Mapa final'!$AD$21="Moderado"),CONCATENATE("R7C",'Mapa final'!$R$21),"")</f>
        <v/>
      </c>
      <c r="S112" s="105" t="str">
        <f>IF(AND('Mapa final'!$AB$19="Media",'Mapa final'!$AD$19="Mayor"),CONCATENATE("R7C",'Mapa final'!$R$19),"")</f>
        <v/>
      </c>
      <c r="T112" s="42" t="str">
        <f>IF(AND('Mapa final'!$AB$20="Media",'Mapa final'!$AD$20="Mayor"),CONCATENATE("R7C",'Mapa final'!$R$20),"")</f>
        <v/>
      </c>
      <c r="U112" s="106" t="str">
        <f>IF(AND('Mapa final'!$AB$21="Media",'Mapa final'!$AD$21="Mayor"),CONCATENATE("R7C",'Mapa final'!$R$21),"")</f>
        <v/>
      </c>
      <c r="V112" s="43" t="str">
        <f>IF(AND('Mapa final'!$AB$19="Media",'Mapa final'!$AD$19="Catastrófico"),CONCATENATE("R7C",'Mapa final'!$R$19),"")</f>
        <v/>
      </c>
      <c r="W112" s="44" t="str">
        <f>IF(AND('Mapa final'!$AB$20="Media",'Mapa final'!$AD$20="Catastrófico"),CONCATENATE("R7C",'Mapa final'!$R$20),"")</f>
        <v/>
      </c>
      <c r="X112" s="100" t="str">
        <f>IF(AND('Mapa final'!$AB$21="Media",'Mapa final'!$AD$21="Catastrófico"),CONCATENATE("R7C",'Mapa final'!$R$21),"")</f>
        <v/>
      </c>
      <c r="Y112" s="56"/>
      <c r="Z112" s="318"/>
      <c r="AA112" s="319"/>
      <c r="AB112" s="319"/>
      <c r="AC112" s="319"/>
      <c r="AD112" s="319"/>
      <c r="AE112" s="320"/>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row>
    <row r="113" spans="1:61" ht="15" customHeight="1" x14ac:dyDescent="0.35">
      <c r="A113" s="56"/>
      <c r="B113" s="307"/>
      <c r="C113" s="307"/>
      <c r="D113" s="308"/>
      <c r="E113" s="284"/>
      <c r="F113" s="297"/>
      <c r="G113" s="297"/>
      <c r="H113" s="297"/>
      <c r="I113" s="279"/>
      <c r="J113" s="49" t="str">
        <f>IF(AND('Mapa final'!$AB$22="Media",'Mapa final'!$AD$22="Leve"),CONCATENATE("R8C",'Mapa final'!$R$22),"")</f>
        <v/>
      </c>
      <c r="K113" s="50" t="str">
        <f>IF(AND('Mapa final'!$AB$23="Media",'Mapa final'!$AD$23="Leve"),CONCATENATE("R8C",'Mapa final'!$R$23),"")</f>
        <v/>
      </c>
      <c r="L113" s="111" t="str">
        <f>IF(AND('Mapa final'!$AB$24="Media",'Mapa final'!$AD$24="Leve"),CONCATENATE("R8C",'Mapa final'!$R$24),"")</f>
        <v/>
      </c>
      <c r="M113" s="49" t="str">
        <f>IF(AND('Mapa final'!$AB$22="Media",'Mapa final'!$AD$22="Menor"),CONCATENATE("R8C",'Mapa final'!$R$22),"")</f>
        <v/>
      </c>
      <c r="N113" s="50" t="str">
        <f>IF(AND('Mapa final'!$AB$23="Media",'Mapa final'!$AD$23="Menor"),CONCATENATE("R8C",'Mapa final'!$R$23),"")</f>
        <v/>
      </c>
      <c r="O113" s="111" t="str">
        <f>IF(AND('Mapa final'!$AB$24="Media",'Mapa final'!$AD$24="Menor"),CONCATENATE("R8C",'Mapa final'!$R$24),"")</f>
        <v/>
      </c>
      <c r="P113" s="49" t="str">
        <f>IF(AND('Mapa final'!$AB$22="Media",'Mapa final'!$AD$22="Moderado"),CONCATENATE("R8C",'Mapa final'!$R$22),"")</f>
        <v>R8C1</v>
      </c>
      <c r="Q113" s="50" t="str">
        <f>IF(AND('Mapa final'!$AB$23="Media",'Mapa final'!$AD$23="Moderado"),CONCATENATE("R8C",'Mapa final'!$R$23),"")</f>
        <v/>
      </c>
      <c r="R113" s="111" t="str">
        <f>IF(AND('Mapa final'!$AB$24="Media",'Mapa final'!$AD$24="Moderado"),CONCATENATE("R8C",'Mapa final'!$R$24),"")</f>
        <v/>
      </c>
      <c r="S113" s="105" t="str">
        <f>IF(AND('Mapa final'!$AB$22="Media",'Mapa final'!$AD$22="Mayor"),CONCATENATE("R8C",'Mapa final'!$R$22),"")</f>
        <v/>
      </c>
      <c r="T113" s="42" t="str">
        <f>IF(AND('Mapa final'!$AB$23="Media",'Mapa final'!$AD$23="Mayor"),CONCATENATE("R8C",'Mapa final'!$R$23),"")</f>
        <v/>
      </c>
      <c r="U113" s="106" t="str">
        <f>IF(AND('Mapa final'!$AB$24="Media",'Mapa final'!$AD$24="Mayor"),CONCATENATE("R8C",'Mapa final'!$R$24),"")</f>
        <v/>
      </c>
      <c r="V113" s="43" t="str">
        <f>IF(AND('Mapa final'!$AB$22="Media",'Mapa final'!$AD$22="Catastrófico"),CONCATENATE("R8C",'Mapa final'!$R$22),"")</f>
        <v/>
      </c>
      <c r="W113" s="44" t="str">
        <f>IF(AND('Mapa final'!$AB$23="Media",'Mapa final'!$AD$23="Catastrófico"),CONCATENATE("R8C",'Mapa final'!$R$23),"")</f>
        <v/>
      </c>
      <c r="X113" s="100" t="str">
        <f>IF(AND('Mapa final'!$AB$24="Media",'Mapa final'!$AD$24="Catastrófico"),CONCATENATE("R8C",'Mapa final'!$R$24),"")</f>
        <v/>
      </c>
      <c r="Y113" s="56"/>
      <c r="Z113" s="318"/>
      <c r="AA113" s="319"/>
      <c r="AB113" s="319"/>
      <c r="AC113" s="319"/>
      <c r="AD113" s="319"/>
      <c r="AE113" s="320"/>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row>
    <row r="114" spans="1:61" ht="15" customHeight="1" x14ac:dyDescent="0.35">
      <c r="A114" s="56"/>
      <c r="B114" s="307"/>
      <c r="C114" s="307"/>
      <c r="D114" s="308"/>
      <c r="E114" s="284"/>
      <c r="F114" s="297"/>
      <c r="G114" s="297"/>
      <c r="H114" s="297"/>
      <c r="I114" s="279"/>
      <c r="J114" s="49" t="str">
        <f>IF(AND('Mapa final'!$AB$25="Media",'Mapa final'!$AD$25="Leve"),CONCATENATE("R9C",'Mapa final'!$R$25),"")</f>
        <v/>
      </c>
      <c r="K114" s="50" t="str">
        <f>IF(AND('Mapa final'!$AB$26="Media",'Mapa final'!$AD$26="Leve"),CONCATENATE("R9C",'Mapa final'!$R$26),"")</f>
        <v/>
      </c>
      <c r="L114" s="111" t="str">
        <f>IF(AND('Mapa final'!$AB$27="Media",'Mapa final'!$AD$27="Leve"),CONCATENATE("R9C",'Mapa final'!$R$27),"")</f>
        <v/>
      </c>
      <c r="M114" s="49" t="str">
        <f>IF(AND('Mapa final'!$AB$25="Media",'Mapa final'!$AD$25="Menor"),CONCATENATE("R9C",'Mapa final'!$R$25),"")</f>
        <v/>
      </c>
      <c r="N114" s="50" t="str">
        <f>IF(AND('Mapa final'!$AB$26="Media",'Mapa final'!$AD$26="Menor"),CONCATENATE("R9C",'Mapa final'!$R$26),"")</f>
        <v/>
      </c>
      <c r="O114" s="111" t="str">
        <f>IF(AND('Mapa final'!$AB$27="Media",'Mapa final'!$AD$27="Menor"),CONCATENATE("R9C",'Mapa final'!$R$27),"")</f>
        <v/>
      </c>
      <c r="P114" s="49" t="str">
        <f>IF(AND('Mapa final'!$AB$25="Media",'Mapa final'!$AD$25="Moderado"),CONCATENATE("R9C",'Mapa final'!$R$25),"")</f>
        <v/>
      </c>
      <c r="Q114" s="50" t="str">
        <f>IF(AND('Mapa final'!$AB$26="Media",'Mapa final'!$AD$26="Moderado"),CONCATENATE("R9C",'Mapa final'!$R$26),"")</f>
        <v/>
      </c>
      <c r="R114" s="111" t="str">
        <f>IF(AND('Mapa final'!$AB$27="Media",'Mapa final'!$AD$27="Moderado"),CONCATENATE("R9C",'Mapa final'!$R$27),"")</f>
        <v/>
      </c>
      <c r="S114" s="105" t="str">
        <f>IF(AND('Mapa final'!$AB$25="Media",'Mapa final'!$AD$25="Mayor"),CONCATENATE("R9C",'Mapa final'!$R$25),"")</f>
        <v>R9C1</v>
      </c>
      <c r="T114" s="42" t="str">
        <f>IF(AND('Mapa final'!$AB$26="Media",'Mapa final'!$AD$26="Mayor"),CONCATENATE("R9C",'Mapa final'!$R$26),"")</f>
        <v/>
      </c>
      <c r="U114" s="106" t="str">
        <f>IF(AND('Mapa final'!$AB$27="Media",'Mapa final'!$AD$27="Mayor"),CONCATENATE("R9C",'Mapa final'!$R$27),"")</f>
        <v/>
      </c>
      <c r="V114" s="43" t="str">
        <f>IF(AND('Mapa final'!$AB$25="Media",'Mapa final'!$AD$25="Catastrófico"),CONCATENATE("R9C",'Mapa final'!$R$25),"")</f>
        <v/>
      </c>
      <c r="W114" s="44" t="str">
        <f>IF(AND('Mapa final'!$AB$26="Media",'Mapa final'!$AD$26="Catastrófico"),CONCATENATE("R9C",'Mapa final'!$R$26),"")</f>
        <v/>
      </c>
      <c r="X114" s="100" t="str">
        <f>IF(AND('Mapa final'!$AB$27="Media",'Mapa final'!$AD$27="Catastrófico"),CONCATENATE("R9C",'Mapa final'!$R$27),"")</f>
        <v/>
      </c>
      <c r="Y114" s="56"/>
      <c r="Z114" s="318"/>
      <c r="AA114" s="319"/>
      <c r="AB114" s="319"/>
      <c r="AC114" s="319"/>
      <c r="AD114" s="319"/>
      <c r="AE114" s="320"/>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row>
    <row r="115" spans="1:61" ht="15" customHeight="1" x14ac:dyDescent="0.35">
      <c r="A115" s="56"/>
      <c r="B115" s="307"/>
      <c r="C115" s="307"/>
      <c r="D115" s="308"/>
      <c r="E115" s="284"/>
      <c r="F115" s="297"/>
      <c r="G115" s="297"/>
      <c r="H115" s="297"/>
      <c r="I115" s="279"/>
      <c r="J115" s="49" t="str">
        <f>IF(AND('Mapa final'!$AB$28="Media",'Mapa final'!$AD$28="Leve"),CONCATENATE("R10C",'Mapa final'!$R$28),"")</f>
        <v/>
      </c>
      <c r="K115" s="50" t="str">
        <f>IF(AND('Mapa final'!$AB$29="Media",'Mapa final'!$AD$29="Leve"),CONCATENATE("R10C",'Mapa final'!$R$29),"")</f>
        <v/>
      </c>
      <c r="L115" s="111" t="str">
        <f>IF(AND('Mapa final'!$AB$30="Media",'Mapa final'!$AD$30="Leve"),CONCATENATE("R10C",'Mapa final'!$R$30),"")</f>
        <v/>
      </c>
      <c r="M115" s="49" t="str">
        <f>IF(AND('Mapa final'!$AB$28="Media",'Mapa final'!$AD$28="Menor"),CONCATENATE("R10C",'Mapa final'!$R$28),"")</f>
        <v/>
      </c>
      <c r="N115" s="50" t="str">
        <f>IF(AND('Mapa final'!$AB$29="Media",'Mapa final'!$AD$29="Menor"),CONCATENATE("R10C",'Mapa final'!$R$29),"")</f>
        <v/>
      </c>
      <c r="O115" s="111" t="str">
        <f>IF(AND('Mapa final'!$AB$30="Media",'Mapa final'!$AD$30="Menor"),CONCATENATE("R10C",'Mapa final'!$R$30),"")</f>
        <v/>
      </c>
      <c r="P115" s="49" t="str">
        <f>IF(AND('Mapa final'!$AB$28="Media",'Mapa final'!$AD$28="Moderado"),CONCATENATE("R10C",'Mapa final'!$R$28),"")</f>
        <v>R10C1</v>
      </c>
      <c r="Q115" s="50" t="str">
        <f>IF(AND('Mapa final'!$AB$29="Media",'Mapa final'!$AD$29="Moderado"),CONCATENATE("R10C",'Mapa final'!$R$29),"")</f>
        <v/>
      </c>
      <c r="R115" s="111" t="str">
        <f>IF(AND('Mapa final'!$AB$30="Media",'Mapa final'!$AD$30="Moderado"),CONCATENATE("R10C",'Mapa final'!$R$30),"")</f>
        <v/>
      </c>
      <c r="S115" s="105" t="str">
        <f>IF(AND('Mapa final'!$AB$28="Media",'Mapa final'!$AD$28="Mayor"),CONCATENATE("R10C",'Mapa final'!$R$28),"")</f>
        <v/>
      </c>
      <c r="T115" s="42" t="str">
        <f>IF(AND('Mapa final'!$AB$29="Media",'Mapa final'!$AD$29="Mayor"),CONCATENATE("R10C",'Mapa final'!$R$29),"")</f>
        <v/>
      </c>
      <c r="U115" s="106" t="str">
        <f>IF(AND('Mapa final'!$AB$30="Media",'Mapa final'!$AD$30="Mayor"),CONCATENATE("R10C",'Mapa final'!$R$30),"")</f>
        <v/>
      </c>
      <c r="V115" s="43" t="str">
        <f>IF(AND('Mapa final'!$AB$28="Media",'Mapa final'!$AD$28="Catastrófico"),CONCATENATE("R10C",'Mapa final'!$R$28),"")</f>
        <v/>
      </c>
      <c r="W115" s="44" t="str">
        <f>IF(AND('Mapa final'!$AB$29="Media",'Mapa final'!$AD$29="Catastrófico"),CONCATENATE("R10C",'Mapa final'!$R$29),"")</f>
        <v/>
      </c>
      <c r="X115" s="100" t="str">
        <f>IF(AND('Mapa final'!$AB$30="Media",'Mapa final'!$AD$30="Catastrófico"),CONCATENATE("R10C",'Mapa final'!$R$30),"")</f>
        <v/>
      </c>
      <c r="Y115" s="56"/>
      <c r="Z115" s="318"/>
      <c r="AA115" s="319"/>
      <c r="AB115" s="319"/>
      <c r="AC115" s="319"/>
      <c r="AD115" s="319"/>
      <c r="AE115" s="320"/>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row>
    <row r="116" spans="1:61" ht="15" customHeight="1" x14ac:dyDescent="0.35">
      <c r="A116" s="56"/>
      <c r="B116" s="307"/>
      <c r="C116" s="307"/>
      <c r="D116" s="308"/>
      <c r="E116" s="284"/>
      <c r="F116" s="297"/>
      <c r="G116" s="297"/>
      <c r="H116" s="297"/>
      <c r="I116" s="279"/>
      <c r="J116" s="49" t="str">
        <f>IF(AND('Mapa final'!$AB$31="Media",'Mapa final'!$AD$31="Leve"),CONCATENATE("R11C",'Mapa final'!$R$31),"")</f>
        <v/>
      </c>
      <c r="K116" s="50" t="str">
        <f>IF(AND('Mapa final'!$AB$32="Media",'Mapa final'!$AD$32="Leve"),CONCATENATE("R11C",'Mapa final'!$R$32),"")</f>
        <v/>
      </c>
      <c r="L116" s="111" t="str">
        <f>IF(AND('Mapa final'!$AB$33="Media",'Mapa final'!$AD$33="Leve"),CONCATENATE("R11C",'Mapa final'!$R$33),"")</f>
        <v/>
      </c>
      <c r="M116" s="49" t="str">
        <f>IF(AND('Mapa final'!$AB$31="Media",'Mapa final'!$AD$31="Menor"),CONCATENATE("R11C",'Mapa final'!$R$31),"")</f>
        <v/>
      </c>
      <c r="N116" s="50" t="str">
        <f>IF(AND('Mapa final'!$AB$32="Media",'Mapa final'!$AD$32="Menor"),CONCATENATE("R11C",'Mapa final'!$R$32),"")</f>
        <v/>
      </c>
      <c r="O116" s="111" t="str">
        <f>IF(AND('Mapa final'!$AB$33="Media",'Mapa final'!$AD$33="Menor"),CONCATENATE("R11C",'Mapa final'!$R$33),"")</f>
        <v/>
      </c>
      <c r="P116" s="49" t="str">
        <f>IF(AND('Mapa final'!$AB$31="Media",'Mapa final'!$AD$31="Moderado"),CONCATENATE("R11C",'Mapa final'!$R$31),"")</f>
        <v/>
      </c>
      <c r="Q116" s="50" t="str">
        <f>IF(AND('Mapa final'!$AB$32="Media",'Mapa final'!$AD$32="Moderado"),CONCATENATE("R11C",'Mapa final'!$R$32),"")</f>
        <v/>
      </c>
      <c r="R116" s="111" t="str">
        <f>IF(AND('Mapa final'!$AB$33="Media",'Mapa final'!$AD$33="Moderado"),CONCATENATE("R11C",'Mapa final'!$R$33),"")</f>
        <v/>
      </c>
      <c r="S116" s="105" t="str">
        <f>IF(AND('Mapa final'!$AB$31="Media",'Mapa final'!$AD$31="Mayor"),CONCATENATE("R11C",'Mapa final'!$R$31),"")</f>
        <v/>
      </c>
      <c r="T116" s="42" t="str">
        <f>IF(AND('Mapa final'!$AB$32="Media",'Mapa final'!$AD$32="Mayor"),CONCATENATE("R11C",'Mapa final'!$R$32),"")</f>
        <v/>
      </c>
      <c r="U116" s="106" t="str">
        <f>IF(AND('Mapa final'!$AB$33="Media",'Mapa final'!$AD$33="Mayor"),CONCATENATE("R11C",'Mapa final'!$R$33),"")</f>
        <v/>
      </c>
      <c r="V116" s="43" t="str">
        <f>IF(AND('Mapa final'!$AB$31="Media",'Mapa final'!$AD$31="Catastrófico"),CONCATENATE("R11C",'Mapa final'!$R$31),"")</f>
        <v/>
      </c>
      <c r="W116" s="44" t="str">
        <f>IF(AND('Mapa final'!$AB$32="Media",'Mapa final'!$AD$32="Catastrófico"),CONCATENATE("R11C",'Mapa final'!$R$32),"")</f>
        <v/>
      </c>
      <c r="X116" s="100" t="str">
        <f>IF(AND('Mapa final'!$AB$33="Media",'Mapa final'!$AD$33="Catastrófico"),CONCATENATE("R11C",'Mapa final'!$R$33),"")</f>
        <v/>
      </c>
      <c r="Y116" s="56"/>
      <c r="Z116" s="318"/>
      <c r="AA116" s="319"/>
      <c r="AB116" s="319"/>
      <c r="AC116" s="319"/>
      <c r="AD116" s="319"/>
      <c r="AE116" s="320"/>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row>
    <row r="117" spans="1:61" ht="15" customHeight="1" x14ac:dyDescent="0.35">
      <c r="A117" s="56"/>
      <c r="B117" s="307"/>
      <c r="C117" s="307"/>
      <c r="D117" s="308"/>
      <c r="E117" s="284"/>
      <c r="F117" s="297"/>
      <c r="G117" s="297"/>
      <c r="H117" s="297"/>
      <c r="I117" s="279"/>
      <c r="J117" s="49" t="str">
        <f>IF(AND('Mapa final'!$AB$34="Media",'Mapa final'!$AD$34="Leve"),CONCATENATE("R12C",'Mapa final'!$R$34),"")</f>
        <v/>
      </c>
      <c r="K117" s="50" t="str">
        <f>IF(AND('Mapa final'!$AB$35="Media",'Mapa final'!$AD$35="Leve"),CONCATENATE("R12C",'Mapa final'!$R$35),"")</f>
        <v/>
      </c>
      <c r="L117" s="111" t="str">
        <f>IF(AND('Mapa final'!$AB$36="Media",'Mapa final'!$AD$36="Leve"),CONCATENATE("R12C",'Mapa final'!$R$36),"")</f>
        <v/>
      </c>
      <c r="M117" s="49" t="str">
        <f>IF(AND('Mapa final'!$AB$34="Media",'Mapa final'!$AD$34="Menor"),CONCATENATE("R12C",'Mapa final'!$R$34),"")</f>
        <v/>
      </c>
      <c r="N117" s="50" t="str">
        <f>IF(AND('Mapa final'!$AB$35="Media",'Mapa final'!$AD$35="Menor"),CONCATENATE("R12C",'Mapa final'!$R$35),"")</f>
        <v/>
      </c>
      <c r="O117" s="111" t="str">
        <f>IF(AND('Mapa final'!$AB$36="Media",'Mapa final'!$AD$36="Menor"),CONCATENATE("R12C",'Mapa final'!$R$36),"")</f>
        <v/>
      </c>
      <c r="P117" s="49" t="str">
        <f>IF(AND('Mapa final'!$AB$34="Media",'Mapa final'!$AD$34="Moderado"),CONCATENATE("R12C",'Mapa final'!$R$34),"")</f>
        <v/>
      </c>
      <c r="Q117" s="50" t="str">
        <f>IF(AND('Mapa final'!$AB$35="Media",'Mapa final'!$AD$35="Moderado"),CONCATENATE("R12C",'Mapa final'!$R$35),"")</f>
        <v/>
      </c>
      <c r="R117" s="111" t="str">
        <f>IF(AND('Mapa final'!$AB$36="Media",'Mapa final'!$AD$36="Moderado"),CONCATENATE("R12C",'Mapa final'!$R$36),"")</f>
        <v/>
      </c>
      <c r="S117" s="105" t="str">
        <f>IF(AND('Mapa final'!$AB$34="Media",'Mapa final'!$AD$34="Mayor"),CONCATENATE("R12C",'Mapa final'!$R$34),"")</f>
        <v/>
      </c>
      <c r="T117" s="42" t="str">
        <f>IF(AND('Mapa final'!$AB$35="Media",'Mapa final'!$AD$35="Mayor"),CONCATENATE("R12C",'Mapa final'!$R$35),"")</f>
        <v/>
      </c>
      <c r="U117" s="106" t="str">
        <f>IF(AND('Mapa final'!$AB$36="Media",'Mapa final'!$AD$36="Mayor"),CONCATENATE("R12C",'Mapa final'!$R$36),"")</f>
        <v/>
      </c>
      <c r="V117" s="43" t="str">
        <f>IF(AND('Mapa final'!$AB$34="Media",'Mapa final'!$AD$34="Catastrófico"),CONCATENATE("R12C",'Mapa final'!$R$34),"")</f>
        <v/>
      </c>
      <c r="W117" s="44" t="str">
        <f>IF(AND('Mapa final'!$AB$35="Media",'Mapa final'!$AD$35="Catastrófico"),CONCATENATE("R12C",'Mapa final'!$R$35),"")</f>
        <v/>
      </c>
      <c r="X117" s="100" t="str">
        <f>IF(AND('Mapa final'!$AB$36="Media",'Mapa final'!$AD$36="Catastrófico"),CONCATENATE("R12C",'Mapa final'!$R$36),"")</f>
        <v/>
      </c>
      <c r="Y117" s="56"/>
      <c r="Z117" s="318"/>
      <c r="AA117" s="319"/>
      <c r="AB117" s="319"/>
      <c r="AC117" s="319"/>
      <c r="AD117" s="319"/>
      <c r="AE117" s="320"/>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row>
    <row r="118" spans="1:61" ht="15" customHeight="1" x14ac:dyDescent="0.35">
      <c r="A118" s="56"/>
      <c r="B118" s="307"/>
      <c r="C118" s="307"/>
      <c r="D118" s="308"/>
      <c r="E118" s="284"/>
      <c r="F118" s="297"/>
      <c r="G118" s="297"/>
      <c r="H118" s="297"/>
      <c r="I118" s="279"/>
      <c r="J118" s="49" t="str">
        <f>IF(AND('Mapa final'!$AB$37="Media",'Mapa final'!$AD$37="Leve"),CONCATENATE("R13C",'Mapa final'!$R$37),"")</f>
        <v/>
      </c>
      <c r="K118" s="50" t="str">
        <f>IF(AND('Mapa final'!$AB$38="Media",'Mapa final'!$AD$38="Leve"),CONCATENATE("R13C",'Mapa final'!$R$38),"")</f>
        <v/>
      </c>
      <c r="L118" s="111" t="str">
        <f>IF(AND('Mapa final'!$AB$39="Media",'Mapa final'!$AD$39="Leve"),CONCATENATE("R13C",'Mapa final'!$R$39),"")</f>
        <v/>
      </c>
      <c r="M118" s="49" t="str">
        <f>IF(AND('Mapa final'!$AB$37="Media",'Mapa final'!$AD$37="Menor"),CONCATENATE("R13C",'Mapa final'!$R$37),"")</f>
        <v/>
      </c>
      <c r="N118" s="50" t="str">
        <f>IF(AND('Mapa final'!$AB$38="Media",'Mapa final'!$AD$38="Menor"),CONCATENATE("R13C",'Mapa final'!$R$38),"")</f>
        <v/>
      </c>
      <c r="O118" s="111" t="str">
        <f>IF(AND('Mapa final'!$AB$39="Media",'Mapa final'!$AD$39="Menor"),CONCATENATE("R13C",'Mapa final'!$R$39),"")</f>
        <v/>
      </c>
      <c r="P118" s="49" t="str">
        <f>IF(AND('Mapa final'!$AB$37="Media",'Mapa final'!$AD$37="Moderado"),CONCATENATE("R13C",'Mapa final'!$R$37),"")</f>
        <v/>
      </c>
      <c r="Q118" s="50" t="str">
        <f>IF(AND('Mapa final'!$AB$38="Media",'Mapa final'!$AD$38="Moderado"),CONCATENATE("R13C",'Mapa final'!$R$38),"")</f>
        <v/>
      </c>
      <c r="R118" s="111" t="str">
        <f>IF(AND('Mapa final'!$AB$39="Media",'Mapa final'!$AD$39="Moderado"),CONCATENATE("R13C",'Mapa final'!$R$39),"")</f>
        <v/>
      </c>
      <c r="S118" s="105" t="str">
        <f>IF(AND('Mapa final'!$AB$37="Media",'Mapa final'!$AD$37="Mayor"),CONCATENATE("R13C",'Mapa final'!$R$37),"")</f>
        <v/>
      </c>
      <c r="T118" s="42" t="str">
        <f>IF(AND('Mapa final'!$AB$38="Media",'Mapa final'!$AD$38="Mayor"),CONCATENATE("R13C",'Mapa final'!$R$38),"")</f>
        <v/>
      </c>
      <c r="U118" s="106" t="str">
        <f>IF(AND('Mapa final'!$AB$39="Media",'Mapa final'!$AD$39="Mayor"),CONCATENATE("R13C",'Mapa final'!$R$39),"")</f>
        <v/>
      </c>
      <c r="V118" s="43" t="str">
        <f>IF(AND('Mapa final'!$AB$37="Media",'Mapa final'!$AD$37="Catastrófico"),CONCATENATE("R13C",'Mapa final'!$R$37),"")</f>
        <v/>
      </c>
      <c r="W118" s="44" t="str">
        <f>IF(AND('Mapa final'!$AB$38="Media",'Mapa final'!$AD$38="Catastrófico"),CONCATENATE("R13C",'Mapa final'!$R$38),"")</f>
        <v/>
      </c>
      <c r="X118" s="100" t="str">
        <f>IF(AND('Mapa final'!$AB$39="Media",'Mapa final'!$AD$39="Catastrófico"),CONCATENATE("R13C",'Mapa final'!$R$39),"")</f>
        <v/>
      </c>
      <c r="Y118" s="56"/>
      <c r="Z118" s="318"/>
      <c r="AA118" s="319"/>
      <c r="AB118" s="319"/>
      <c r="AC118" s="319"/>
      <c r="AD118" s="319"/>
      <c r="AE118" s="320"/>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row>
    <row r="119" spans="1:61" ht="15" customHeight="1" x14ac:dyDescent="0.35">
      <c r="A119" s="56"/>
      <c r="B119" s="307"/>
      <c r="C119" s="307"/>
      <c r="D119" s="308"/>
      <c r="E119" s="284"/>
      <c r="F119" s="297"/>
      <c r="G119" s="297"/>
      <c r="H119" s="297"/>
      <c r="I119" s="279"/>
      <c r="J119" s="49" t="str">
        <f>IF(AND('Mapa final'!$AB$40="Media",'Mapa final'!$AD$40="Leve"),CONCATENATE("R14C",'Mapa final'!$R$40),"")</f>
        <v/>
      </c>
      <c r="K119" s="50" t="str">
        <f>IF(AND('Mapa final'!$AB$41="Media",'Mapa final'!$AD$41="Leve"),CONCATENATE("R14C",'Mapa final'!$R$41),"")</f>
        <v/>
      </c>
      <c r="L119" s="111" t="str">
        <f>IF(AND('Mapa final'!$AB$42="Media",'Mapa final'!$AD$42="Leve"),CONCATENATE("R14C",'Mapa final'!$R$42),"")</f>
        <v/>
      </c>
      <c r="M119" s="49" t="str">
        <f>IF(AND('Mapa final'!$AB$40="Media",'Mapa final'!$AD$40="Menor"),CONCATENATE("R14C",'Mapa final'!$R$40),"")</f>
        <v/>
      </c>
      <c r="N119" s="50" t="str">
        <f>IF(AND('Mapa final'!$AB$41="Media",'Mapa final'!$AD$41="Menor"),CONCATENATE("R14C",'Mapa final'!$R$41),"")</f>
        <v/>
      </c>
      <c r="O119" s="111" t="str">
        <f>IF(AND('Mapa final'!$AB$42="Media",'Mapa final'!$AD$42="Menor"),CONCATENATE("R14C",'Mapa final'!$R$42),"")</f>
        <v/>
      </c>
      <c r="P119" s="49" t="str">
        <f>IF(AND('Mapa final'!$AB$40="Media",'Mapa final'!$AD$40="Moderado"),CONCATENATE("R14C",'Mapa final'!$R$40),"")</f>
        <v/>
      </c>
      <c r="Q119" s="50" t="str">
        <f>IF(AND('Mapa final'!$AB$41="Media",'Mapa final'!$AD$41="Moderado"),CONCATENATE("R14C",'Mapa final'!$R$41),"")</f>
        <v/>
      </c>
      <c r="R119" s="111" t="str">
        <f>IF(AND('Mapa final'!$AB$42="Media",'Mapa final'!$AD$42="Moderado"),CONCATENATE("R14C",'Mapa final'!$R$42),"")</f>
        <v/>
      </c>
      <c r="S119" s="105" t="str">
        <f>IF(AND('Mapa final'!$AB$40="Media",'Mapa final'!$AD$40="Mayor"),CONCATENATE("R14C",'Mapa final'!$R$40),"")</f>
        <v/>
      </c>
      <c r="T119" s="42" t="str">
        <f>IF(AND('Mapa final'!$AB$41="Media",'Mapa final'!$AD$41="Mayor"),CONCATENATE("R14C",'Mapa final'!$R$41),"")</f>
        <v/>
      </c>
      <c r="U119" s="106" t="str">
        <f>IF(AND('Mapa final'!$AB$42="Media",'Mapa final'!$AD$42="Mayor"),CONCATENATE("R14C",'Mapa final'!$R$42),"")</f>
        <v/>
      </c>
      <c r="V119" s="43" t="str">
        <f>IF(AND('Mapa final'!$AB$40="Media",'Mapa final'!$AD$40="Catastrófico"),CONCATENATE("R14C",'Mapa final'!$R$40),"")</f>
        <v/>
      </c>
      <c r="W119" s="44" t="str">
        <f>IF(AND('Mapa final'!$AB$41="Media",'Mapa final'!$AD$41="Catastrófico"),CONCATENATE("R14C",'Mapa final'!$R$41),"")</f>
        <v/>
      </c>
      <c r="X119" s="100" t="str">
        <f>IF(AND('Mapa final'!$AB$42="Media",'Mapa final'!$AD$42="Catastrófico"),CONCATENATE("R14C",'Mapa final'!$R$42),"")</f>
        <v/>
      </c>
      <c r="Y119" s="56"/>
      <c r="Z119" s="318"/>
      <c r="AA119" s="319"/>
      <c r="AB119" s="319"/>
      <c r="AC119" s="319"/>
      <c r="AD119" s="319"/>
      <c r="AE119" s="320"/>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row>
    <row r="120" spans="1:61" ht="15" customHeight="1" x14ac:dyDescent="0.35">
      <c r="A120" s="56"/>
      <c r="B120" s="307"/>
      <c r="C120" s="307"/>
      <c r="D120" s="308"/>
      <c r="E120" s="284"/>
      <c r="F120" s="297"/>
      <c r="G120" s="297"/>
      <c r="H120" s="297"/>
      <c r="I120" s="279"/>
      <c r="J120" s="49" t="str">
        <f>IF(AND('Mapa final'!$AB$43="Media",'Mapa final'!$AD$43="Leve"),CONCATENATE("R15C",'Mapa final'!$R$43),"")</f>
        <v/>
      </c>
      <c r="K120" s="50" t="str">
        <f>IF(AND('Mapa final'!$AB$44="Media",'Mapa final'!$AD$44="Leve"),CONCATENATE("R15C",'Mapa final'!$R$44),"")</f>
        <v/>
      </c>
      <c r="L120" s="111" t="str">
        <f>IF(AND('Mapa final'!$AB$45="Media",'Mapa final'!$AD$45="Leve"),CONCATENATE("R15C",'Mapa final'!$R$45),"")</f>
        <v/>
      </c>
      <c r="M120" s="49" t="str">
        <f>IF(AND('Mapa final'!$AB$43="Media",'Mapa final'!$AD$43="Menor"),CONCATENATE("R15C",'Mapa final'!$R$43),"")</f>
        <v/>
      </c>
      <c r="N120" s="50" t="str">
        <f>IF(AND('Mapa final'!$AB$44="Media",'Mapa final'!$AD$44="Menor"),CONCATENATE("R15C",'Mapa final'!$R$44),"")</f>
        <v/>
      </c>
      <c r="O120" s="111" t="str">
        <f>IF(AND('Mapa final'!$AB$45="Media",'Mapa final'!$AD$45="Menor"),CONCATENATE("R15C",'Mapa final'!$R$45),"")</f>
        <v/>
      </c>
      <c r="P120" s="49" t="str">
        <f>IF(AND('Mapa final'!$AB$43="Media",'Mapa final'!$AD$43="Moderado"),CONCATENATE("R15C",'Mapa final'!$R$43),"")</f>
        <v>R15C1</v>
      </c>
      <c r="Q120" s="50" t="str">
        <f>IF(AND('Mapa final'!$AB$44="Media",'Mapa final'!$AD$44="Moderado"),CONCATENATE("R15C",'Mapa final'!$R$44),"")</f>
        <v/>
      </c>
      <c r="R120" s="111" t="str">
        <f>IF(AND('Mapa final'!$AB$45="Media",'Mapa final'!$AD$45="Moderado"),CONCATENATE("R15C",'Mapa final'!$R$45),"")</f>
        <v/>
      </c>
      <c r="S120" s="105" t="str">
        <f>IF(AND('Mapa final'!$AB$43="Media",'Mapa final'!$AD$43="Mayor"),CONCATENATE("R15C",'Mapa final'!$R$43),"")</f>
        <v/>
      </c>
      <c r="T120" s="42" t="str">
        <f>IF(AND('Mapa final'!$AB$44="Media",'Mapa final'!$AD$44="Mayor"),CONCATENATE("R15C",'Mapa final'!$R$44),"")</f>
        <v/>
      </c>
      <c r="U120" s="106" t="str">
        <f>IF(AND('Mapa final'!$AB$45="Media",'Mapa final'!$AD$45="Mayor"),CONCATENATE("R15C",'Mapa final'!$R$45),"")</f>
        <v/>
      </c>
      <c r="V120" s="43" t="str">
        <f>IF(AND('Mapa final'!$AB$43="Media",'Mapa final'!$AD$43="Catastrófico"),CONCATENATE("R15C",'Mapa final'!$R$43),"")</f>
        <v/>
      </c>
      <c r="W120" s="44" t="str">
        <f>IF(AND('Mapa final'!$AB$44="Media",'Mapa final'!$AD$44="Catastrófico"),CONCATENATE("R15C",'Mapa final'!$R$44),"")</f>
        <v/>
      </c>
      <c r="X120" s="100" t="str">
        <f>IF(AND('Mapa final'!$AB$45="Media",'Mapa final'!$AD$45="Catastrófico"),CONCATENATE("R15C",'Mapa final'!$R$45),"")</f>
        <v/>
      </c>
      <c r="Y120" s="56"/>
      <c r="Z120" s="318"/>
      <c r="AA120" s="319"/>
      <c r="AB120" s="319"/>
      <c r="AC120" s="319"/>
      <c r="AD120" s="319"/>
      <c r="AE120" s="320"/>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row>
    <row r="121" spans="1:61" ht="15" customHeight="1" x14ac:dyDescent="0.35">
      <c r="A121" s="56"/>
      <c r="B121" s="307"/>
      <c r="C121" s="307"/>
      <c r="D121" s="308"/>
      <c r="E121" s="284"/>
      <c r="F121" s="297"/>
      <c r="G121" s="297"/>
      <c r="H121" s="297"/>
      <c r="I121" s="279"/>
      <c r="J121" s="49" t="str">
        <f>IF(AND('Mapa final'!$AB$46="Media",'Mapa final'!$AD$46="Leve"),CONCATENATE("R16C",'Mapa final'!$R$46),"")</f>
        <v/>
      </c>
      <c r="K121" s="50" t="str">
        <f>IF(AND('Mapa final'!$AB$47="Media",'Mapa final'!$AD$47="Leve"),CONCATENATE("R16C",'Mapa final'!$R$47),"")</f>
        <v/>
      </c>
      <c r="L121" s="111" t="str">
        <f>IF(AND('Mapa final'!$AB$48="Media",'Mapa final'!$AD$48="Leve"),CONCATENATE("R16C",'Mapa final'!$R$48),"")</f>
        <v/>
      </c>
      <c r="M121" s="49" t="str">
        <f>IF(AND('Mapa final'!$AB$46="Media",'Mapa final'!$AD$46="Menor"),CONCATENATE("R16C",'Mapa final'!$R$46),"")</f>
        <v/>
      </c>
      <c r="N121" s="50" t="str">
        <f>IF(AND('Mapa final'!$AB$47="Media",'Mapa final'!$AD$47="Menor"),CONCATENATE("R16C",'Mapa final'!$R$47),"")</f>
        <v/>
      </c>
      <c r="O121" s="111" t="str">
        <f>IF(AND('Mapa final'!$AB$48="Media",'Mapa final'!$AD$48="Menor"),CONCATENATE("R16C",'Mapa final'!$R$48),"")</f>
        <v/>
      </c>
      <c r="P121" s="49" t="str">
        <f>IF(AND('Mapa final'!$AB$46="Media",'Mapa final'!$AD$46="Moderado"),CONCATENATE("R16C",'Mapa final'!$R$46),"")</f>
        <v/>
      </c>
      <c r="Q121" s="50" t="str">
        <f>IF(AND('Mapa final'!$AB$47="Media",'Mapa final'!$AD$47="Moderado"),CONCATENATE("R16C",'Mapa final'!$R$47),"")</f>
        <v/>
      </c>
      <c r="R121" s="111" t="str">
        <f>IF(AND('Mapa final'!$AB$48="Media",'Mapa final'!$AD$48="Moderado"),CONCATENATE("R16C",'Mapa final'!$R$48),"")</f>
        <v/>
      </c>
      <c r="S121" s="105" t="str">
        <f>IF(AND('Mapa final'!$AB$46="Media",'Mapa final'!$AD$46="Mayor"),CONCATENATE("R16C",'Mapa final'!$R$46),"")</f>
        <v/>
      </c>
      <c r="T121" s="42" t="str">
        <f>IF(AND('Mapa final'!$AB$47="Media",'Mapa final'!$AD$47="Mayor"),CONCATENATE("R16C",'Mapa final'!$R$47),"")</f>
        <v/>
      </c>
      <c r="U121" s="106" t="str">
        <f>IF(AND('Mapa final'!$AB$48="Media",'Mapa final'!$AD$48="Mayor"),CONCATENATE("R16C",'Mapa final'!$R$48),"")</f>
        <v/>
      </c>
      <c r="V121" s="43" t="str">
        <f>IF(AND('Mapa final'!$AB$46="Media",'Mapa final'!$AD$46="Catastrófico"),CONCATENATE("R16C",'Mapa final'!$R$46),"")</f>
        <v/>
      </c>
      <c r="W121" s="44" t="str">
        <f>IF(AND('Mapa final'!$AB$47="Media",'Mapa final'!$AD$47="Catastrófico"),CONCATENATE("R16C",'Mapa final'!$R$47),"")</f>
        <v/>
      </c>
      <c r="X121" s="100" t="str">
        <f>IF(AND('Mapa final'!$AB$48="Media",'Mapa final'!$AD$48="Catastrófico"),CONCATENATE("R16C",'Mapa final'!$R$48),"")</f>
        <v/>
      </c>
      <c r="Y121" s="56"/>
      <c r="Z121" s="318"/>
      <c r="AA121" s="319"/>
      <c r="AB121" s="319"/>
      <c r="AC121" s="319"/>
      <c r="AD121" s="319"/>
      <c r="AE121" s="320"/>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row>
    <row r="122" spans="1:61" ht="15" customHeight="1" x14ac:dyDescent="0.35">
      <c r="A122" s="56"/>
      <c r="B122" s="307"/>
      <c r="C122" s="307"/>
      <c r="D122" s="308"/>
      <c r="E122" s="284"/>
      <c r="F122" s="297"/>
      <c r="G122" s="297"/>
      <c r="H122" s="297"/>
      <c r="I122" s="279"/>
      <c r="J122" s="49" t="str">
        <f>IF(AND('Mapa final'!$AB$49="Media",'Mapa final'!$AD$49="Leve"),CONCATENATE("R17C",'Mapa final'!$R$49),"")</f>
        <v/>
      </c>
      <c r="K122" s="50" t="str">
        <f>IF(AND('Mapa final'!$AB$50="Media",'Mapa final'!$AD$50="Leve"),CONCATENATE("R17C",'Mapa final'!$R$50),"")</f>
        <v/>
      </c>
      <c r="L122" s="111" t="str">
        <f>IF(AND('Mapa final'!$AB$51="Media",'Mapa final'!$AD$51="Leve"),CONCATENATE("R17C",'Mapa final'!$R$51),"")</f>
        <v/>
      </c>
      <c r="M122" s="49" t="str">
        <f>IF(AND('Mapa final'!$AB$49="Media",'Mapa final'!$AD$49="Menor"),CONCATENATE("R17C",'Mapa final'!$R$49),"")</f>
        <v/>
      </c>
      <c r="N122" s="50" t="str">
        <f>IF(AND('Mapa final'!$AB$50="Media",'Mapa final'!$AD$50="Menor"),CONCATENATE("R17C",'Mapa final'!$R$50),"")</f>
        <v/>
      </c>
      <c r="O122" s="111" t="str">
        <f>IF(AND('Mapa final'!$AB$51="Media",'Mapa final'!$AD$51="Menor"),CONCATENATE("R17C",'Mapa final'!$R$51),"")</f>
        <v/>
      </c>
      <c r="P122" s="49" t="str">
        <f>IF(AND('Mapa final'!$AB$49="Media",'Mapa final'!$AD$49="Moderado"),CONCATENATE("R17C",'Mapa final'!$R$49),"")</f>
        <v/>
      </c>
      <c r="Q122" s="50" t="str">
        <f>IF(AND('Mapa final'!$AB$50="Media",'Mapa final'!$AD$50="Moderado"),CONCATENATE("R17C",'Mapa final'!$R$50),"")</f>
        <v/>
      </c>
      <c r="R122" s="111" t="str">
        <f>IF(AND('Mapa final'!$AB$51="Media",'Mapa final'!$AD$51="Moderado"),CONCATENATE("R17C",'Mapa final'!$R$51),"")</f>
        <v/>
      </c>
      <c r="S122" s="105" t="str">
        <f>IF(AND('Mapa final'!$AB$49="Media",'Mapa final'!$AD$49="Mayor"),CONCATENATE("R17C",'Mapa final'!$R$49),"")</f>
        <v>R17C1</v>
      </c>
      <c r="T122" s="42" t="str">
        <f>IF(AND('Mapa final'!$AB$50="Media",'Mapa final'!$AD$50="Mayor"),CONCATENATE("R17C",'Mapa final'!$R$50),"")</f>
        <v/>
      </c>
      <c r="U122" s="106" t="str">
        <f>IF(AND('Mapa final'!$AB$51="Media",'Mapa final'!$AD$51="Mayor"),CONCATENATE("R17C",'Mapa final'!$R$51),"")</f>
        <v/>
      </c>
      <c r="V122" s="43" t="str">
        <f>IF(AND('Mapa final'!$AB$49="Media",'Mapa final'!$AD$49="Catastrófico"),CONCATENATE("R17C",'Mapa final'!$R$49),"")</f>
        <v/>
      </c>
      <c r="W122" s="44" t="str">
        <f>IF(AND('Mapa final'!$AB$50="Media",'Mapa final'!$AD$50="Catastrófico"),CONCATENATE("R17C",'Mapa final'!$R$50),"")</f>
        <v/>
      </c>
      <c r="X122" s="100" t="str">
        <f>IF(AND('Mapa final'!$AB$51="Media",'Mapa final'!$AD$51="Catastrófico"),CONCATENATE("R17C",'Mapa final'!$R$51),"")</f>
        <v/>
      </c>
      <c r="Y122" s="56"/>
      <c r="Z122" s="318"/>
      <c r="AA122" s="319"/>
      <c r="AB122" s="319"/>
      <c r="AC122" s="319"/>
      <c r="AD122" s="319"/>
      <c r="AE122" s="320"/>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row>
    <row r="123" spans="1:61" ht="15" customHeight="1" x14ac:dyDescent="0.35">
      <c r="A123" s="56"/>
      <c r="B123" s="307"/>
      <c r="C123" s="307"/>
      <c r="D123" s="308"/>
      <c r="E123" s="284"/>
      <c r="F123" s="297"/>
      <c r="G123" s="297"/>
      <c r="H123" s="297"/>
      <c r="I123" s="279"/>
      <c r="J123" s="49" t="str">
        <f>IF(AND('Mapa final'!$AB$52="Media",'Mapa final'!$AD$52="Leve"),CONCATENATE("R18C",'Mapa final'!$R$52),"")</f>
        <v/>
      </c>
      <c r="K123" s="50" t="str">
        <f>IF(AND('Mapa final'!$AB$53="Media",'Mapa final'!$AD$53="Leve"),CONCATENATE("R18C",'Mapa final'!$R$53),"")</f>
        <v/>
      </c>
      <c r="L123" s="111" t="str">
        <f>IF(AND('Mapa final'!$AB$54="Media",'Mapa final'!$AD$54="Leve"),CONCATENATE("R18C",'Mapa final'!$R$54),"")</f>
        <v/>
      </c>
      <c r="M123" s="49" t="str">
        <f>IF(AND('Mapa final'!$AB$52="Media",'Mapa final'!$AD$52="Menor"),CONCATENATE("R18C",'Mapa final'!$R$52),"")</f>
        <v/>
      </c>
      <c r="N123" s="50" t="str">
        <f>IF(AND('Mapa final'!$AB$53="Media",'Mapa final'!$AD$53="Menor"),CONCATENATE("R18C",'Mapa final'!$R$53),"")</f>
        <v/>
      </c>
      <c r="O123" s="111" t="str">
        <f>IF(AND('Mapa final'!$AB$54="Media",'Mapa final'!$AD$54="Menor"),CONCATENATE("R18C",'Mapa final'!$R$54),"")</f>
        <v/>
      </c>
      <c r="P123" s="49" t="str">
        <f>IF(AND('Mapa final'!$AB$52="Media",'Mapa final'!$AD$52="Moderado"),CONCATENATE("R18C",'Mapa final'!$R$52),"")</f>
        <v>R18C1</v>
      </c>
      <c r="Q123" s="50" t="str">
        <f>IF(AND('Mapa final'!$AB$53="Media",'Mapa final'!$AD$53="Moderado"),CONCATENATE("R18C",'Mapa final'!$R$53),"")</f>
        <v/>
      </c>
      <c r="R123" s="111" t="str">
        <f>IF(AND('Mapa final'!$AB$54="Media",'Mapa final'!$AD$54="Moderado"),CONCATENATE("R18C",'Mapa final'!$R$54),"")</f>
        <v/>
      </c>
      <c r="S123" s="105" t="str">
        <f>IF(AND('Mapa final'!$AB$52="Media",'Mapa final'!$AD$52="Mayor"),CONCATENATE("R18C",'Mapa final'!$R$52),"")</f>
        <v/>
      </c>
      <c r="T123" s="42" t="str">
        <f>IF(AND('Mapa final'!$AB$53="Media",'Mapa final'!$AD$53="Mayor"),CONCATENATE("R18C",'Mapa final'!$R$53),"")</f>
        <v/>
      </c>
      <c r="U123" s="106" t="str">
        <f>IF(AND('Mapa final'!$AB$54="Media",'Mapa final'!$AD$54="Mayor"),CONCATENATE("R18C",'Mapa final'!$R$54),"")</f>
        <v/>
      </c>
      <c r="V123" s="43" t="str">
        <f>IF(AND('Mapa final'!$AB$52="Media",'Mapa final'!$AD$52="Catastrófico"),CONCATENATE("R18C",'Mapa final'!$R$52),"")</f>
        <v/>
      </c>
      <c r="W123" s="44" t="str">
        <f>IF(AND('Mapa final'!$AB$53="Media",'Mapa final'!$AD$53="Catastrófico"),CONCATENATE("R18C",'Mapa final'!$R$53),"")</f>
        <v/>
      </c>
      <c r="X123" s="100" t="str">
        <f>IF(AND('Mapa final'!$AB$54="Media",'Mapa final'!$AD$54="Catastrófico"),CONCATENATE("R18C",'Mapa final'!$R$54),"")</f>
        <v/>
      </c>
      <c r="Y123" s="56"/>
      <c r="Z123" s="318"/>
      <c r="AA123" s="319"/>
      <c r="AB123" s="319"/>
      <c r="AC123" s="319"/>
      <c r="AD123" s="319"/>
      <c r="AE123" s="320"/>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row>
    <row r="124" spans="1:61" ht="15" customHeight="1" x14ac:dyDescent="0.35">
      <c r="A124" s="56"/>
      <c r="B124" s="307"/>
      <c r="C124" s="307"/>
      <c r="D124" s="308"/>
      <c r="E124" s="284"/>
      <c r="F124" s="297"/>
      <c r="G124" s="297"/>
      <c r="H124" s="297"/>
      <c r="I124" s="279"/>
      <c r="J124" s="49" t="str">
        <f>IF(AND('Mapa final'!$AB$55="Media",'Mapa final'!$AD$55="Leve"),CONCATENATE("R19C",'Mapa final'!$R$55),"")</f>
        <v/>
      </c>
      <c r="K124" s="50" t="str">
        <f>IF(AND('Mapa final'!$AB$56="Media",'Mapa final'!$AD$56="Leve"),CONCATENATE("R19C",'Mapa final'!$R$56),"")</f>
        <v/>
      </c>
      <c r="L124" s="111" t="str">
        <f>IF(AND('Mapa final'!$AB$57="Media",'Mapa final'!$AD$57="Leve"),CONCATENATE("R19C",'Mapa final'!$R$57),"")</f>
        <v/>
      </c>
      <c r="M124" s="49" t="str">
        <f>IF(AND('Mapa final'!$AB$55="Media",'Mapa final'!$AD$55="Menor"),CONCATENATE("R19C",'Mapa final'!$R$55),"")</f>
        <v/>
      </c>
      <c r="N124" s="50" t="str">
        <f>IF(AND('Mapa final'!$AB$56="Media",'Mapa final'!$AD$56="Menor"),CONCATENATE("R19C",'Mapa final'!$R$56),"")</f>
        <v/>
      </c>
      <c r="O124" s="111" t="str">
        <f>IF(AND('Mapa final'!$AB$57="Media",'Mapa final'!$AD$57="Menor"),CONCATENATE("R19C",'Mapa final'!$R$57),"")</f>
        <v/>
      </c>
      <c r="P124" s="49" t="str">
        <f>IF(AND('Mapa final'!$AB$55="Media",'Mapa final'!$AD$55="Moderado"),CONCATENATE("R19C",'Mapa final'!$R$55),"")</f>
        <v>R19C1</v>
      </c>
      <c r="Q124" s="50" t="str">
        <f>IF(AND('Mapa final'!$AB$56="Media",'Mapa final'!$AD$56="Moderado"),CONCATENATE("R19C",'Mapa final'!$R$56),"")</f>
        <v/>
      </c>
      <c r="R124" s="111" t="str">
        <f>IF(AND('Mapa final'!$AB$57="Media",'Mapa final'!$AD$57="Moderado"),CONCATENATE("R19C",'Mapa final'!$R$57),"")</f>
        <v/>
      </c>
      <c r="S124" s="105" t="str">
        <f>IF(AND('Mapa final'!$AB$55="Media",'Mapa final'!$AD$55="Mayor"),CONCATENATE("R19C",'Mapa final'!$R$55),"")</f>
        <v/>
      </c>
      <c r="T124" s="42" t="str">
        <f>IF(AND('Mapa final'!$AB$56="Media",'Mapa final'!$AD$56="Mayor"),CONCATENATE("R19C",'Mapa final'!$R$56),"")</f>
        <v/>
      </c>
      <c r="U124" s="106" t="str">
        <f>IF(AND('Mapa final'!$AB$57="Media",'Mapa final'!$AD$57="Mayor"),CONCATENATE("R19C",'Mapa final'!$R$57),"")</f>
        <v/>
      </c>
      <c r="V124" s="43" t="str">
        <f>IF(AND('Mapa final'!$AB$55="Media",'Mapa final'!$AD$55="Catastrófico"),CONCATENATE("R19C",'Mapa final'!$R$55),"")</f>
        <v/>
      </c>
      <c r="W124" s="44" t="str">
        <f>IF(AND('Mapa final'!$AB$56="Media",'Mapa final'!$AD$56="Catastrófico"),CONCATENATE("R19C",'Mapa final'!$R$56),"")</f>
        <v/>
      </c>
      <c r="X124" s="100" t="str">
        <f>IF(AND('Mapa final'!$AB$57="Media",'Mapa final'!$AD$57="Catastrófico"),CONCATENATE("R19C",'Mapa final'!$R$57),"")</f>
        <v/>
      </c>
      <c r="Y124" s="56"/>
      <c r="Z124" s="318"/>
      <c r="AA124" s="319"/>
      <c r="AB124" s="319"/>
      <c r="AC124" s="319"/>
      <c r="AD124" s="319"/>
      <c r="AE124" s="320"/>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row>
    <row r="125" spans="1:61" ht="15" customHeight="1" x14ac:dyDescent="0.35">
      <c r="A125" s="56"/>
      <c r="B125" s="307"/>
      <c r="C125" s="307"/>
      <c r="D125" s="308"/>
      <c r="E125" s="284"/>
      <c r="F125" s="297"/>
      <c r="G125" s="297"/>
      <c r="H125" s="297"/>
      <c r="I125" s="279"/>
      <c r="J125" s="49" t="str">
        <f>IF(AND('Mapa final'!$AB$58="Media",'Mapa final'!$AD$58="Leve"),CONCATENATE("R20C",'Mapa final'!$R$58),"")</f>
        <v/>
      </c>
      <c r="K125" s="50" t="str">
        <f>IF(AND('Mapa final'!$AB$59="Media",'Mapa final'!$AD$59="Leve"),CONCATENATE("R20C",'Mapa final'!$R$59),"")</f>
        <v/>
      </c>
      <c r="L125" s="111" t="str">
        <f>IF(AND('Mapa final'!$AB$60="Media",'Mapa final'!$AD$60="Leve"),CONCATENATE("R20C",'Mapa final'!$R$60),"")</f>
        <v/>
      </c>
      <c r="M125" s="49" t="str">
        <f>IF(AND('Mapa final'!$AB$58="Media",'Mapa final'!$AD$58="Menor"),CONCATENATE("R20C",'Mapa final'!$R$58),"")</f>
        <v/>
      </c>
      <c r="N125" s="50" t="str">
        <f>IF(AND('Mapa final'!$AB$59="Media",'Mapa final'!$AD$59="Menor"),CONCATENATE("R20C",'Mapa final'!$R$59),"")</f>
        <v/>
      </c>
      <c r="O125" s="111" t="str">
        <f>IF(AND('Mapa final'!$AB$60="Media",'Mapa final'!$AD$60="Menor"),CONCATENATE("R20C",'Mapa final'!$R$60),"")</f>
        <v/>
      </c>
      <c r="P125" s="49" t="str">
        <f>IF(AND('Mapa final'!$AB$58="Media",'Mapa final'!$AD$58="Moderado"),CONCATENATE("R20C",'Mapa final'!$R$58),"")</f>
        <v/>
      </c>
      <c r="Q125" s="50" t="str">
        <f>IF(AND('Mapa final'!$AB$59="Media",'Mapa final'!$AD$59="Moderado"),CONCATENATE("R20C",'Mapa final'!$R$59),"")</f>
        <v/>
      </c>
      <c r="R125" s="111" t="str">
        <f>IF(AND('Mapa final'!$AB$60="Media",'Mapa final'!$AD$60="Moderado"),CONCATENATE("R20C",'Mapa final'!$R$60),"")</f>
        <v/>
      </c>
      <c r="S125" s="105" t="str">
        <f>IF(AND('Mapa final'!$AB$58="Media",'Mapa final'!$AD$58="Mayor"),CONCATENATE("R20C",'Mapa final'!$R$58),"")</f>
        <v/>
      </c>
      <c r="T125" s="42" t="str">
        <f>IF(AND('Mapa final'!$AB$59="Media",'Mapa final'!$AD$59="Mayor"),CONCATENATE("R20C",'Mapa final'!$R$59),"")</f>
        <v/>
      </c>
      <c r="U125" s="106" t="str">
        <f>IF(AND('Mapa final'!$AB$60="Media",'Mapa final'!$AD$60="Mayor"),CONCATENATE("R20C",'Mapa final'!$R$60),"")</f>
        <v/>
      </c>
      <c r="V125" s="43" t="str">
        <f>IF(AND('Mapa final'!$AB$58="Media",'Mapa final'!$AD$58="Catastrófico"),CONCATENATE("R20C",'Mapa final'!$R$58),"")</f>
        <v/>
      </c>
      <c r="W125" s="44" t="str">
        <f>IF(AND('Mapa final'!$AB$59="Media",'Mapa final'!$AD$59="Catastrófico"),CONCATENATE("R20C",'Mapa final'!$R$59),"")</f>
        <v/>
      </c>
      <c r="X125" s="100" t="str">
        <f>IF(AND('Mapa final'!$AB$60="Media",'Mapa final'!$AD$60="Catastrófico"),CONCATENATE("R20C",'Mapa final'!$R$60),"")</f>
        <v/>
      </c>
      <c r="Y125" s="56"/>
      <c r="Z125" s="318"/>
      <c r="AA125" s="319"/>
      <c r="AB125" s="319"/>
      <c r="AC125" s="319"/>
      <c r="AD125" s="319"/>
      <c r="AE125" s="320"/>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row>
    <row r="126" spans="1:61" ht="15" customHeight="1" x14ac:dyDescent="0.35">
      <c r="A126" s="56"/>
      <c r="B126" s="307"/>
      <c r="C126" s="307"/>
      <c r="D126" s="308"/>
      <c r="E126" s="284"/>
      <c r="F126" s="297"/>
      <c r="G126" s="297"/>
      <c r="H126" s="297"/>
      <c r="I126" s="279"/>
      <c r="J126" s="49" t="str">
        <f>IF(AND('Mapa final'!$AB$61="Media",'Mapa final'!$AD$61="Leve"),CONCATENATE("R21C",'Mapa final'!$R$61),"")</f>
        <v/>
      </c>
      <c r="K126" s="50" t="str">
        <f>IF(AND('Mapa final'!$AB$62="Media",'Mapa final'!$AD$62="Leve"),CONCATENATE("R21C",'Mapa final'!$R$62),"")</f>
        <v/>
      </c>
      <c r="L126" s="111" t="str">
        <f>IF(AND('Mapa final'!$AB$63="Media",'Mapa final'!$AD$63="Leve"),CONCATENATE("R21C",'Mapa final'!$R$63),"")</f>
        <v/>
      </c>
      <c r="M126" s="49" t="str">
        <f>IF(AND('Mapa final'!$AB$61="Media",'Mapa final'!$AD$61="Menor"),CONCATENATE("R21C",'Mapa final'!$R$61),"")</f>
        <v/>
      </c>
      <c r="N126" s="50" t="str">
        <f>IF(AND('Mapa final'!$AB$62="Media",'Mapa final'!$AD$62="Menor"),CONCATENATE("R21C",'Mapa final'!$R$62),"")</f>
        <v/>
      </c>
      <c r="O126" s="111" t="str">
        <f>IF(AND('Mapa final'!$AB$63="Media",'Mapa final'!$AD$63="Menor"),CONCATENATE("R21C",'Mapa final'!$R$63),"")</f>
        <v/>
      </c>
      <c r="P126" s="49" t="str">
        <f>IF(AND('Mapa final'!$AB$61="Media",'Mapa final'!$AD$61="Moderado"),CONCATENATE("R21C",'Mapa final'!$R$61),"")</f>
        <v/>
      </c>
      <c r="Q126" s="50" t="str">
        <f>IF(AND('Mapa final'!$AB$62="Media",'Mapa final'!$AD$62="Moderado"),CONCATENATE("R21C",'Mapa final'!$R$62),"")</f>
        <v/>
      </c>
      <c r="R126" s="111" t="str">
        <f>IF(AND('Mapa final'!$AB$63="Media",'Mapa final'!$AD$63="Moderado"),CONCATENATE("R21C",'Mapa final'!$R$63),"")</f>
        <v/>
      </c>
      <c r="S126" s="105" t="str">
        <f>IF(AND('Mapa final'!$AB$61="Media",'Mapa final'!$AD$61="Mayor"),CONCATENATE("R21C",'Mapa final'!$R$61),"")</f>
        <v/>
      </c>
      <c r="T126" s="42" t="str">
        <f>IF(AND('Mapa final'!$AB$62="Media",'Mapa final'!$AD$62="Mayor"),CONCATENATE("R21C",'Mapa final'!$R$62),"")</f>
        <v/>
      </c>
      <c r="U126" s="106" t="str">
        <f>IF(AND('Mapa final'!$AB$63="Media",'Mapa final'!$AD$63="Mayor"),CONCATENATE("R21C",'Mapa final'!$R$63),"")</f>
        <v/>
      </c>
      <c r="V126" s="43" t="str">
        <f>IF(AND('Mapa final'!$AB$61="Media",'Mapa final'!$AD$61="Catastrófico"),CONCATENATE("R21C",'Mapa final'!$R$61),"")</f>
        <v/>
      </c>
      <c r="W126" s="44" t="str">
        <f>IF(AND('Mapa final'!$AB$62="Media",'Mapa final'!$AD$62="Catastrófico"),CONCATENATE("R21C",'Mapa final'!$R$62),"")</f>
        <v/>
      </c>
      <c r="X126" s="100" t="str">
        <f>IF(AND('Mapa final'!$AB$63="Media",'Mapa final'!$AD$63="Catastrófico"),CONCATENATE("R21C",'Mapa final'!$R$63),"")</f>
        <v/>
      </c>
      <c r="Y126" s="56"/>
      <c r="Z126" s="318"/>
      <c r="AA126" s="319"/>
      <c r="AB126" s="319"/>
      <c r="AC126" s="319"/>
      <c r="AD126" s="319"/>
      <c r="AE126" s="320"/>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row>
    <row r="127" spans="1:61" ht="15" customHeight="1" x14ac:dyDescent="0.35">
      <c r="A127" s="56"/>
      <c r="B127" s="307"/>
      <c r="C127" s="307"/>
      <c r="D127" s="308"/>
      <c r="E127" s="284"/>
      <c r="F127" s="297"/>
      <c r="G127" s="297"/>
      <c r="H127" s="297"/>
      <c r="I127" s="279"/>
      <c r="J127" s="49" t="str">
        <f>IF(AND('Mapa final'!$AB$64="Media",'Mapa final'!$AD$64="Leve"),CONCATENATE("R22C",'Mapa final'!$R$64),"")</f>
        <v/>
      </c>
      <c r="K127" s="50" t="str">
        <f>IF(AND('Mapa final'!$AB$65="Media",'Mapa final'!$AD$65="Leve"),CONCATENATE("R22C",'Mapa final'!$R$65),"")</f>
        <v/>
      </c>
      <c r="L127" s="111" t="str">
        <f>IF(AND('Mapa final'!$AB$66="Media",'Mapa final'!$AD$66="Leve"),CONCATENATE("R22C",'Mapa final'!$R$66),"")</f>
        <v/>
      </c>
      <c r="M127" s="49" t="str">
        <f>IF(AND('Mapa final'!$AB$64="Media",'Mapa final'!$AD$64="Menor"),CONCATENATE("R22C",'Mapa final'!$R$64),"")</f>
        <v/>
      </c>
      <c r="N127" s="50" t="str">
        <f>IF(AND('Mapa final'!$AB$65="Media",'Mapa final'!$AD$65="Menor"),CONCATENATE("R22C",'Mapa final'!$R$65),"")</f>
        <v/>
      </c>
      <c r="O127" s="111" t="str">
        <f>IF(AND('Mapa final'!$AB$66="Media",'Mapa final'!$AD$66="Menor"),CONCATENATE("R22C",'Mapa final'!$R$66),"")</f>
        <v/>
      </c>
      <c r="P127" s="49" t="str">
        <f>IF(AND('Mapa final'!$AB$64="Media",'Mapa final'!$AD$64="Moderado"),CONCATENATE("R22C",'Mapa final'!$R$64),"")</f>
        <v/>
      </c>
      <c r="Q127" s="50" t="str">
        <f>IF(AND('Mapa final'!$AB$65="Media",'Mapa final'!$AD$65="Moderado"),CONCATENATE("R22C",'Mapa final'!$R$65),"")</f>
        <v/>
      </c>
      <c r="R127" s="111" t="str">
        <f>IF(AND('Mapa final'!$AB$66="Media",'Mapa final'!$AD$66="Moderado"),CONCATENATE("R22C",'Mapa final'!$R$66),"")</f>
        <v/>
      </c>
      <c r="S127" s="105" t="str">
        <f>IF(AND('Mapa final'!$AB$64="Media",'Mapa final'!$AD$64="Mayor"),CONCATENATE("R22C",'Mapa final'!$R$64),"")</f>
        <v/>
      </c>
      <c r="T127" s="42" t="str">
        <f>IF(AND('Mapa final'!$AB$65="Media",'Mapa final'!$AD$65="Mayor"),CONCATENATE("R22C",'Mapa final'!$R$65),"")</f>
        <v/>
      </c>
      <c r="U127" s="106" t="str">
        <f>IF(AND('Mapa final'!$AB$66="Media",'Mapa final'!$AD$66="Mayor"),CONCATENATE("R22C",'Mapa final'!$R$66),"")</f>
        <v/>
      </c>
      <c r="V127" s="43" t="str">
        <f>IF(AND('Mapa final'!$AB$64="Media",'Mapa final'!$AD$64="Catastrófico"),CONCATENATE("R22C",'Mapa final'!$R$64),"")</f>
        <v/>
      </c>
      <c r="W127" s="44" t="str">
        <f>IF(AND('Mapa final'!$AB$65="Media",'Mapa final'!$AD$65="Catastrófico"),CONCATENATE("R22C",'Mapa final'!$R$65),"")</f>
        <v/>
      </c>
      <c r="X127" s="100" t="str">
        <f>IF(AND('Mapa final'!$AB$66="Media",'Mapa final'!$AD$66="Catastrófico"),CONCATENATE("R22C",'Mapa final'!$R$66),"")</f>
        <v/>
      </c>
      <c r="Y127" s="56"/>
      <c r="Z127" s="318"/>
      <c r="AA127" s="319"/>
      <c r="AB127" s="319"/>
      <c r="AC127" s="319"/>
      <c r="AD127" s="319"/>
      <c r="AE127" s="320"/>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row>
    <row r="128" spans="1:61" ht="15" customHeight="1" x14ac:dyDescent="0.35">
      <c r="A128" s="56"/>
      <c r="B128" s="307"/>
      <c r="C128" s="307"/>
      <c r="D128" s="308"/>
      <c r="E128" s="284"/>
      <c r="F128" s="297"/>
      <c r="G128" s="297"/>
      <c r="H128" s="297"/>
      <c r="I128" s="279"/>
      <c r="J128" s="49" t="str">
        <f>IF(AND('Mapa final'!$AB$70="Media",'Mapa final'!$AD$70="Leve"),CONCATENATE("R23C",'Mapa final'!$R$70),"")</f>
        <v/>
      </c>
      <c r="K128" s="50" t="str">
        <f>IF(AND('Mapa final'!$AB$71="Media",'Mapa final'!$AD$71="Leve"),CONCATENATE("R23C",'Mapa final'!$R$71),"")</f>
        <v/>
      </c>
      <c r="L128" s="111" t="str">
        <f>IF(AND('Mapa final'!$AB$72="Media",'Mapa final'!$AD$72="Leve"),CONCATENATE("R23C",'Mapa final'!$R$72),"")</f>
        <v/>
      </c>
      <c r="M128" s="49" t="str">
        <f>IF(AND('Mapa final'!$AB$70="Media",'Mapa final'!$AD$70="Menor"),CONCATENATE("R23C",'Mapa final'!$R$70),"")</f>
        <v/>
      </c>
      <c r="N128" s="50" t="str">
        <f>IF(AND('Mapa final'!$AB$71="Media",'Mapa final'!$AD$71="Menor"),CONCATENATE("R23C",'Mapa final'!$R$71),"")</f>
        <v/>
      </c>
      <c r="O128" s="111" t="str">
        <f>IF(AND('Mapa final'!$AB$72="Media",'Mapa final'!$AD$72="Menor"),CONCATENATE("R23C",'Mapa final'!$R$72),"")</f>
        <v/>
      </c>
      <c r="P128" s="49" t="str">
        <f>IF(AND('Mapa final'!$AB$70="Media",'Mapa final'!$AD$70="Moderado"),CONCATENATE("R23C",'Mapa final'!$R$70),"")</f>
        <v/>
      </c>
      <c r="Q128" s="50" t="str">
        <f>IF(AND('Mapa final'!$AB$71="Media",'Mapa final'!$AD$71="Moderado"),CONCATENATE("R23C",'Mapa final'!$R$71),"")</f>
        <v/>
      </c>
      <c r="R128" s="111" t="str">
        <f>IF(AND('Mapa final'!$AB$72="Media",'Mapa final'!$AD$72="Moderado"),CONCATENATE("R23C",'Mapa final'!$R$72),"")</f>
        <v/>
      </c>
      <c r="S128" s="105" t="str">
        <f>IF(AND('Mapa final'!$AB$70="Media",'Mapa final'!$AD$70="Mayor"),CONCATENATE("R23C",'Mapa final'!$R$70),"")</f>
        <v/>
      </c>
      <c r="T128" s="42" t="str">
        <f>IF(AND('Mapa final'!$AB$71="Media",'Mapa final'!$AD$71="Mayor"),CONCATENATE("R23C",'Mapa final'!$R$71),"")</f>
        <v/>
      </c>
      <c r="U128" s="106" t="str">
        <f>IF(AND('Mapa final'!$AB$72="Media",'Mapa final'!$AD$72="Mayor"),CONCATENATE("R23C",'Mapa final'!$R$72),"")</f>
        <v/>
      </c>
      <c r="V128" s="43" t="str">
        <f>IF(AND('Mapa final'!$AB$70="Media",'Mapa final'!$AD$70="Catastrófico"),CONCATENATE("R23C",'Mapa final'!$R$70),"")</f>
        <v/>
      </c>
      <c r="W128" s="44" t="str">
        <f>IF(AND('Mapa final'!$AB$71="Media",'Mapa final'!$AD$71="Catastrófico"),CONCATENATE("R23C",'Mapa final'!$R$71),"")</f>
        <v/>
      </c>
      <c r="X128" s="100" t="str">
        <f>IF(AND('Mapa final'!$AB$72="Media",'Mapa final'!$AD$72="Catastrófico"),CONCATENATE("R23C",'Mapa final'!$R$72),"")</f>
        <v/>
      </c>
      <c r="Y128" s="56"/>
      <c r="Z128" s="318"/>
      <c r="AA128" s="319"/>
      <c r="AB128" s="319"/>
      <c r="AC128" s="319"/>
      <c r="AD128" s="319"/>
      <c r="AE128" s="320"/>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row>
    <row r="129" spans="1:61" ht="15" customHeight="1" x14ac:dyDescent="0.35">
      <c r="A129" s="56"/>
      <c r="B129" s="307"/>
      <c r="C129" s="307"/>
      <c r="D129" s="308"/>
      <c r="E129" s="284"/>
      <c r="F129" s="297"/>
      <c r="G129" s="297"/>
      <c r="H129" s="297"/>
      <c r="I129" s="279"/>
      <c r="J129" s="49" t="str">
        <f>IF(AND('Mapa final'!$AB$73="Media",'Mapa final'!$AD$73="Leve"),CONCATENATE("R24C",'Mapa final'!$R$73),"")</f>
        <v/>
      </c>
      <c r="K129" s="50" t="str">
        <f>IF(AND('Mapa final'!$AB$74="Media",'Mapa final'!$AD$74="Leve"),CONCATENATE("R24C",'Mapa final'!$R$74),"")</f>
        <v/>
      </c>
      <c r="L129" s="111" t="str">
        <f>IF(AND('Mapa final'!$AB$75="Media",'Mapa final'!$AD$75="Leve"),CONCATENATE("R24C",'Mapa final'!$R$75),"")</f>
        <v/>
      </c>
      <c r="M129" s="49" t="str">
        <f>IF(AND('Mapa final'!$AB$73="Media",'Mapa final'!$AD$73="Menor"),CONCATENATE("R24C",'Mapa final'!$R$73),"")</f>
        <v/>
      </c>
      <c r="N129" s="50" t="str">
        <f>IF(AND('Mapa final'!$AB$74="Media",'Mapa final'!$AD$74="Menor"),CONCATENATE("R24C",'Mapa final'!$R$74),"")</f>
        <v/>
      </c>
      <c r="O129" s="111" t="str">
        <f>IF(AND('Mapa final'!$AB$75="Media",'Mapa final'!$AD$75="Menor"),CONCATENATE("R24C",'Mapa final'!$R$75),"")</f>
        <v/>
      </c>
      <c r="P129" s="49" t="str">
        <f>IF(AND('Mapa final'!$AB$73="Media",'Mapa final'!$AD$73="Moderado"),CONCATENATE("R24C",'Mapa final'!$R$73),"")</f>
        <v/>
      </c>
      <c r="Q129" s="50" t="str">
        <f>IF(AND('Mapa final'!$AB$74="Media",'Mapa final'!$AD$74="Moderado"),CONCATENATE("R24C",'Mapa final'!$R$74),"")</f>
        <v/>
      </c>
      <c r="R129" s="111" t="str">
        <f>IF(AND('Mapa final'!$AB$75="Media",'Mapa final'!$AD$75="Moderado"),CONCATENATE("R24C",'Mapa final'!$R$75),"")</f>
        <v/>
      </c>
      <c r="S129" s="105" t="str">
        <f>IF(AND('Mapa final'!$AB$73="Media",'Mapa final'!$AD$73="Mayor"),CONCATENATE("R24C",'Mapa final'!$R$73),"")</f>
        <v/>
      </c>
      <c r="T129" s="42" t="str">
        <f>IF(AND('Mapa final'!$AB$74="Media",'Mapa final'!$AD$74="Mayor"),CONCATENATE("R24C",'Mapa final'!$R$74),"")</f>
        <v/>
      </c>
      <c r="U129" s="106" t="str">
        <f>IF(AND('Mapa final'!$AB$75="Media",'Mapa final'!$AD$75="Mayor"),CONCATENATE("R24C",'Mapa final'!$R$75),"")</f>
        <v/>
      </c>
      <c r="V129" s="43" t="str">
        <f>IF(AND('Mapa final'!$AB$73="Media",'Mapa final'!$AD$73="Catastrófico"),CONCATENATE("R24C",'Mapa final'!$R$73),"")</f>
        <v/>
      </c>
      <c r="W129" s="44" t="str">
        <f>IF(AND('Mapa final'!$AB$74="Media",'Mapa final'!$AD$74="Catastrófico"),CONCATENATE("R24C",'Mapa final'!$R$74),"")</f>
        <v/>
      </c>
      <c r="X129" s="100" t="str">
        <f>IF(AND('Mapa final'!$AB$75="Media",'Mapa final'!$AD$75="Catastrófico"),CONCATENATE("R24C",'Mapa final'!$R$75),"")</f>
        <v/>
      </c>
      <c r="Y129" s="56"/>
      <c r="Z129" s="318"/>
      <c r="AA129" s="319"/>
      <c r="AB129" s="319"/>
      <c r="AC129" s="319"/>
      <c r="AD129" s="319"/>
      <c r="AE129" s="320"/>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row>
    <row r="130" spans="1:61" ht="15" customHeight="1" x14ac:dyDescent="0.35">
      <c r="A130" s="56"/>
      <c r="B130" s="307"/>
      <c r="C130" s="307"/>
      <c r="D130" s="308"/>
      <c r="E130" s="284"/>
      <c r="F130" s="297"/>
      <c r="G130" s="297"/>
      <c r="H130" s="297"/>
      <c r="I130" s="279"/>
      <c r="J130" s="49" t="str">
        <f>IF(AND('Mapa final'!$AB$76="Media",'Mapa final'!$AD$76="Leve"),CONCATENATE("R25C",'Mapa final'!$R$76),"")</f>
        <v/>
      </c>
      <c r="K130" s="50" t="str">
        <f>IF(AND('Mapa final'!$AB$77="Media",'Mapa final'!$AD$77="Leve"),CONCATENATE("R25C",'Mapa final'!$R$77),"")</f>
        <v/>
      </c>
      <c r="L130" s="111" t="str">
        <f>IF(AND('Mapa final'!$AB$78="Media",'Mapa final'!$AD$78="Leve"),CONCATENATE("R25C",'Mapa final'!$R$78),"")</f>
        <v/>
      </c>
      <c r="M130" s="49" t="str">
        <f>IF(AND('Mapa final'!$AB$76="Media",'Mapa final'!$AD$76="Menor"),CONCATENATE("R25C",'Mapa final'!$R$76),"")</f>
        <v/>
      </c>
      <c r="N130" s="50" t="str">
        <f>IF(AND('Mapa final'!$AB$77="Media",'Mapa final'!$AD$77="Menor"),CONCATENATE("R25C",'Mapa final'!$R$77),"")</f>
        <v/>
      </c>
      <c r="O130" s="111" t="str">
        <f>IF(AND('Mapa final'!$AB$78="Media",'Mapa final'!$AD$78="Menor"),CONCATENATE("R25C",'Mapa final'!$R$78),"")</f>
        <v/>
      </c>
      <c r="P130" s="49" t="str">
        <f>IF(AND('Mapa final'!$AB$76="Media",'Mapa final'!$AD$76="Moderado"),CONCATENATE("R25C",'Mapa final'!$R$76),"")</f>
        <v/>
      </c>
      <c r="Q130" s="50" t="str">
        <f>IF(AND('Mapa final'!$AB$77="Media",'Mapa final'!$AD$77="Moderado"),CONCATENATE("R25C",'Mapa final'!$R$77),"")</f>
        <v/>
      </c>
      <c r="R130" s="111" t="str">
        <f>IF(AND('Mapa final'!$AB$78="Media",'Mapa final'!$AD$78="Moderado"),CONCATENATE("R25C",'Mapa final'!$R$78),"")</f>
        <v/>
      </c>
      <c r="S130" s="105" t="str">
        <f>IF(AND('Mapa final'!$AB$76="Media",'Mapa final'!$AD$76="Mayor"),CONCATENATE("R25C",'Mapa final'!$R$76),"")</f>
        <v/>
      </c>
      <c r="T130" s="42" t="str">
        <f>IF(AND('Mapa final'!$AB$77="Media",'Mapa final'!$AD$77="Mayor"),CONCATENATE("R25C",'Mapa final'!$R$77),"")</f>
        <v/>
      </c>
      <c r="U130" s="106" t="str">
        <f>IF(AND('Mapa final'!$AB$78="Media",'Mapa final'!$AD$78="Mayor"),CONCATENATE("R25C",'Mapa final'!$R$78),"")</f>
        <v/>
      </c>
      <c r="V130" s="43" t="str">
        <f>IF(AND('Mapa final'!$AB$76="Media",'Mapa final'!$AD$76="Catastrófico"),CONCATENATE("R25C",'Mapa final'!$R$76),"")</f>
        <v/>
      </c>
      <c r="W130" s="44" t="str">
        <f>IF(AND('Mapa final'!$AB$77="Media",'Mapa final'!$AD$77="Catastrófico"),CONCATENATE("R25C",'Mapa final'!$R$77),"")</f>
        <v/>
      </c>
      <c r="X130" s="100" t="str">
        <f>IF(AND('Mapa final'!$AB$78="Media",'Mapa final'!$AD$78="Catastrófico"),CONCATENATE("R25C",'Mapa final'!$R$78),"")</f>
        <v/>
      </c>
      <c r="Y130" s="56"/>
      <c r="Z130" s="318"/>
      <c r="AA130" s="319"/>
      <c r="AB130" s="319"/>
      <c r="AC130" s="319"/>
      <c r="AD130" s="319"/>
      <c r="AE130" s="320"/>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row>
    <row r="131" spans="1:61" ht="15" customHeight="1" x14ac:dyDescent="0.35">
      <c r="A131" s="56"/>
      <c r="B131" s="307"/>
      <c r="C131" s="307"/>
      <c r="D131" s="308"/>
      <c r="E131" s="284"/>
      <c r="F131" s="297"/>
      <c r="G131" s="297"/>
      <c r="H131" s="297"/>
      <c r="I131" s="279"/>
      <c r="J131" s="49" t="str">
        <f>IF(AND('Mapa final'!$AB$79="Media",'Mapa final'!$AD$79="Leve"),CONCATENATE("R26C",'Mapa final'!$R$79),"")</f>
        <v/>
      </c>
      <c r="K131" s="50" t="str">
        <f>IF(AND('Mapa final'!$AB$80="Media",'Mapa final'!$AD$80="Leve"),CONCATENATE("R26C",'Mapa final'!$R$80),"")</f>
        <v/>
      </c>
      <c r="L131" s="111" t="str">
        <f>IF(AND('Mapa final'!$AB$81="Media",'Mapa final'!$AD$81="Leve"),CONCATENATE("R26C",'Mapa final'!$R$81),"")</f>
        <v/>
      </c>
      <c r="M131" s="49" t="str">
        <f>IF(AND('Mapa final'!$AB$79="Media",'Mapa final'!$AD$79="Menor"),CONCATENATE("R26C",'Mapa final'!$R$79),"")</f>
        <v/>
      </c>
      <c r="N131" s="50" t="str">
        <f>IF(AND('Mapa final'!$AB$80="Media",'Mapa final'!$AD$80="Menor"),CONCATENATE("R26C",'Mapa final'!$R$80),"")</f>
        <v/>
      </c>
      <c r="O131" s="111" t="str">
        <f>IF(AND('Mapa final'!$AB$81="Media",'Mapa final'!$AD$81="Menor"),CONCATENATE("R26C",'Mapa final'!$R$81),"")</f>
        <v/>
      </c>
      <c r="P131" s="49" t="str">
        <f>IF(AND('Mapa final'!$AB$79="Media",'Mapa final'!$AD$79="Moderado"),CONCATENATE("R26C",'Mapa final'!$R$79),"")</f>
        <v/>
      </c>
      <c r="Q131" s="50" t="str">
        <f>IF(AND('Mapa final'!$AB$80="Media",'Mapa final'!$AD$80="Moderado"),CONCATENATE("R26C",'Mapa final'!$R$80),"")</f>
        <v/>
      </c>
      <c r="R131" s="111" t="str">
        <f>IF(AND('Mapa final'!$AB$81="Media",'Mapa final'!$AD$81="Moderado"),CONCATENATE("R26C",'Mapa final'!$R$81),"")</f>
        <v/>
      </c>
      <c r="S131" s="105" t="str">
        <f>IF(AND('Mapa final'!$AB$79="Media",'Mapa final'!$AD$79="Mayor"),CONCATENATE("R26C",'Mapa final'!$R$79),"")</f>
        <v/>
      </c>
      <c r="T131" s="42" t="str">
        <f>IF(AND('Mapa final'!$AB$80="Media",'Mapa final'!$AD$80="Mayor"),CONCATENATE("R26C",'Mapa final'!$R$80),"")</f>
        <v/>
      </c>
      <c r="U131" s="106" t="str">
        <f>IF(AND('Mapa final'!$AB$81="Media",'Mapa final'!$AD$81="Mayor"),CONCATENATE("R26C",'Mapa final'!$R$81),"")</f>
        <v/>
      </c>
      <c r="V131" s="43" t="str">
        <f>IF(AND('Mapa final'!$AB$79="Media",'Mapa final'!$AD$79="Catastrófico"),CONCATENATE("R26C",'Mapa final'!$R$79),"")</f>
        <v/>
      </c>
      <c r="W131" s="44" t="str">
        <f>IF(AND('Mapa final'!$AB$80="Media",'Mapa final'!$AD$80="Catastrófico"),CONCATENATE("R26C",'Mapa final'!$R$80),"")</f>
        <v/>
      </c>
      <c r="X131" s="100" t="str">
        <f>IF(AND('Mapa final'!$AB$81="Media",'Mapa final'!$AD$81="Catastrófico"),CONCATENATE("R26C",'Mapa final'!$R$81),"")</f>
        <v/>
      </c>
      <c r="Y131" s="56"/>
      <c r="Z131" s="318"/>
      <c r="AA131" s="319"/>
      <c r="AB131" s="319"/>
      <c r="AC131" s="319"/>
      <c r="AD131" s="319"/>
      <c r="AE131" s="320"/>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row>
    <row r="132" spans="1:61" ht="15" customHeight="1" x14ac:dyDescent="0.35">
      <c r="A132" s="56"/>
      <c r="B132" s="307"/>
      <c r="C132" s="307"/>
      <c r="D132" s="308"/>
      <c r="E132" s="284"/>
      <c r="F132" s="297"/>
      <c r="G132" s="297"/>
      <c r="H132" s="297"/>
      <c r="I132" s="279"/>
      <c r="J132" s="49" t="str">
        <f>IF(AND('Mapa final'!$AB$82="Media",'Mapa final'!$AD$82="Leve"),CONCATENATE("R27C",'Mapa final'!$R$82),"")</f>
        <v/>
      </c>
      <c r="K132" s="50" t="str">
        <f>IF(AND('Mapa final'!$AB$83="Media",'Mapa final'!$AD$83="Leve"),CONCATENATE("R27C",'Mapa final'!$R$83),"")</f>
        <v/>
      </c>
      <c r="L132" s="111" t="str">
        <f>IF(AND('Mapa final'!$AB$84="Media",'Mapa final'!$AD$84="Leve"),CONCATENATE("R27C",'Mapa final'!$R$84),"")</f>
        <v/>
      </c>
      <c r="M132" s="49" t="str">
        <f>IF(AND('Mapa final'!$AB$82="Media",'Mapa final'!$AD$82="Menor"),CONCATENATE("R27C",'Mapa final'!$R$82),"")</f>
        <v/>
      </c>
      <c r="N132" s="50" t="str">
        <f>IF(AND('Mapa final'!$AB$83="Media",'Mapa final'!$AD$83="Menor"),CONCATENATE("R27C",'Mapa final'!$R$83),"")</f>
        <v/>
      </c>
      <c r="O132" s="111" t="str">
        <f>IF(AND('Mapa final'!$AB$84="Media",'Mapa final'!$AD$84="Menor"),CONCATENATE("R27C",'Mapa final'!$R$84),"")</f>
        <v/>
      </c>
      <c r="P132" s="49" t="str">
        <f>IF(AND('Mapa final'!$AB$82="Media",'Mapa final'!$AD$82="Moderado"),CONCATENATE("R27C",'Mapa final'!$R$82),"")</f>
        <v/>
      </c>
      <c r="Q132" s="50" t="str">
        <f>IF(AND('Mapa final'!$AB$83="Media",'Mapa final'!$AD$83="Moderado"),CONCATENATE("R27C",'Mapa final'!$R$83),"")</f>
        <v/>
      </c>
      <c r="R132" s="111" t="str">
        <f>IF(AND('Mapa final'!$AB$84="Media",'Mapa final'!$AD$84="Moderado"),CONCATENATE("R27C",'Mapa final'!$R$84),"")</f>
        <v/>
      </c>
      <c r="S132" s="105" t="str">
        <f>IF(AND('Mapa final'!$AB$82="Media",'Mapa final'!$AD$82="Mayor"),CONCATENATE("R27C",'Mapa final'!$R$82),"")</f>
        <v/>
      </c>
      <c r="T132" s="42" t="str">
        <f>IF(AND('Mapa final'!$AB$83="Media",'Mapa final'!$AD$83="Mayor"),CONCATENATE("R27C",'Mapa final'!$R$83),"")</f>
        <v/>
      </c>
      <c r="U132" s="106" t="str">
        <f>IF(AND('Mapa final'!$AB$84="Media",'Mapa final'!$AD$84="Mayor"),CONCATENATE("R27C",'Mapa final'!$R$84),"")</f>
        <v/>
      </c>
      <c r="V132" s="43" t="str">
        <f>IF(AND('Mapa final'!$AB$82="Media",'Mapa final'!$AD$82="Catastrófico"),CONCATENATE("R27C",'Mapa final'!$R$82),"")</f>
        <v/>
      </c>
      <c r="W132" s="44" t="str">
        <f>IF(AND('Mapa final'!$AB$83="Media",'Mapa final'!$AD$83="Catastrófico"),CONCATENATE("R27C",'Mapa final'!$R$83),"")</f>
        <v/>
      </c>
      <c r="X132" s="100" t="str">
        <f>IF(AND('Mapa final'!$AB$84="Media",'Mapa final'!$AD$84="Catastrófico"),CONCATENATE("R27C",'Mapa final'!$R$84),"")</f>
        <v/>
      </c>
      <c r="Y132" s="56"/>
      <c r="Z132" s="318"/>
      <c r="AA132" s="319"/>
      <c r="AB132" s="319"/>
      <c r="AC132" s="319"/>
      <c r="AD132" s="319"/>
      <c r="AE132" s="320"/>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row>
    <row r="133" spans="1:61" ht="15" customHeight="1" x14ac:dyDescent="0.35">
      <c r="A133" s="56"/>
      <c r="B133" s="307"/>
      <c r="C133" s="307"/>
      <c r="D133" s="308"/>
      <c r="E133" s="284"/>
      <c r="F133" s="297"/>
      <c r="G133" s="297"/>
      <c r="H133" s="297"/>
      <c r="I133" s="279"/>
      <c r="J133" s="49" t="str">
        <f>IF(AND('Mapa final'!$AB$85="Media",'Mapa final'!$AD$85="Leve"),CONCATENATE("R28C",'Mapa final'!$R$85),"")</f>
        <v/>
      </c>
      <c r="K133" s="50" t="str">
        <f>IF(AND('Mapa final'!$AB$86="Media",'Mapa final'!$AD$86="Leve"),CONCATENATE("R28C",'Mapa final'!$R$86),"")</f>
        <v/>
      </c>
      <c r="L133" s="111" t="str">
        <f>IF(AND('Mapa final'!$AB$87="Media",'Mapa final'!$AD$87="Leve"),CONCATENATE("R28C",'Mapa final'!$R$87),"")</f>
        <v/>
      </c>
      <c r="M133" s="49" t="str">
        <f>IF(AND('Mapa final'!$AB$85="Media",'Mapa final'!$AD$85="Menor"),CONCATENATE("R28C",'Mapa final'!$R$85),"")</f>
        <v/>
      </c>
      <c r="N133" s="50" t="str">
        <f>IF(AND('Mapa final'!$AB$86="Media",'Mapa final'!$AD$86="Menor"),CONCATENATE("R28C",'Mapa final'!$R$86),"")</f>
        <v/>
      </c>
      <c r="O133" s="111" t="str">
        <f>IF(AND('Mapa final'!$AB$87="Media",'Mapa final'!$AD$87="Menor"),CONCATENATE("R28C",'Mapa final'!$R$87),"")</f>
        <v/>
      </c>
      <c r="P133" s="49" t="str">
        <f>IF(AND('Mapa final'!$AB$85="Media",'Mapa final'!$AD$85="Moderado"),CONCATENATE("R28C",'Mapa final'!$R$85),"")</f>
        <v/>
      </c>
      <c r="Q133" s="50" t="str">
        <f>IF(AND('Mapa final'!$AB$86="Media",'Mapa final'!$AD$86="Moderado"),CONCATENATE("R28C",'Mapa final'!$R$86),"")</f>
        <v/>
      </c>
      <c r="R133" s="111" t="str">
        <f>IF(AND('Mapa final'!$AB$87="Media",'Mapa final'!$AD$87="Moderado"),CONCATENATE("R28C",'Mapa final'!$R$87),"")</f>
        <v/>
      </c>
      <c r="S133" s="105" t="str">
        <f>IF(AND('Mapa final'!$AB$85="Media",'Mapa final'!$AD$85="Mayor"),CONCATENATE("R28C",'Mapa final'!$R$85),"")</f>
        <v/>
      </c>
      <c r="T133" s="42" t="str">
        <f>IF(AND('Mapa final'!$AB$86="Media",'Mapa final'!$AD$86="Mayor"),CONCATENATE("R28C",'Mapa final'!$R$86),"")</f>
        <v/>
      </c>
      <c r="U133" s="106" t="str">
        <f>IF(AND('Mapa final'!$AB$87="Media",'Mapa final'!$AD$87="Mayor"),CONCATENATE("R28C",'Mapa final'!$R$87),"")</f>
        <v/>
      </c>
      <c r="V133" s="43" t="str">
        <f>IF(AND('Mapa final'!$AB$85="Media",'Mapa final'!$AD$85="Catastrófico"),CONCATENATE("R28C",'Mapa final'!$R$85),"")</f>
        <v/>
      </c>
      <c r="W133" s="44" t="str">
        <f>IF(AND('Mapa final'!$AB$86="Media",'Mapa final'!$AD$86="Catastrófico"),CONCATENATE("R28C",'Mapa final'!$R$86),"")</f>
        <v/>
      </c>
      <c r="X133" s="100" t="str">
        <f>IF(AND('Mapa final'!$AB$87="Media",'Mapa final'!$AD$87="Catastrófico"),CONCATENATE("R28C",'Mapa final'!$R$87),"")</f>
        <v/>
      </c>
      <c r="Y133" s="56"/>
      <c r="Z133" s="318"/>
      <c r="AA133" s="319"/>
      <c r="AB133" s="319"/>
      <c r="AC133" s="319"/>
      <c r="AD133" s="319"/>
      <c r="AE133" s="320"/>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row>
    <row r="134" spans="1:61" ht="15" customHeight="1" x14ac:dyDescent="0.35">
      <c r="A134" s="56"/>
      <c r="B134" s="307"/>
      <c r="C134" s="307"/>
      <c r="D134" s="308"/>
      <c r="E134" s="284"/>
      <c r="F134" s="297"/>
      <c r="G134" s="297"/>
      <c r="H134" s="297"/>
      <c r="I134" s="279"/>
      <c r="J134" s="49" t="str">
        <f>IF(AND('Mapa final'!$AB$88="Media",'Mapa final'!$AD$88="Leve"),CONCATENATE("R29C",'Mapa final'!$R$88),"")</f>
        <v/>
      </c>
      <c r="K134" s="50" t="str">
        <f>IF(AND('Mapa final'!$AB$89="Media",'Mapa final'!$AD$89="Leve"),CONCATENATE("R29C",'Mapa final'!$R$89),"")</f>
        <v/>
      </c>
      <c r="L134" s="111" t="str">
        <f>IF(AND('Mapa final'!$AB$90="Media",'Mapa final'!$AD$90="Leve"),CONCATENATE("R29C",'Mapa final'!$R$90),"")</f>
        <v/>
      </c>
      <c r="M134" s="49" t="str">
        <f>IF(AND('Mapa final'!$AB$88="Media",'Mapa final'!$AD$88="Menor"),CONCATENATE("R29C",'Mapa final'!$R$88),"")</f>
        <v/>
      </c>
      <c r="N134" s="50" t="str">
        <f>IF(AND('Mapa final'!$AB$89="Media",'Mapa final'!$AD$89="Menor"),CONCATENATE("R29C",'Mapa final'!$R$89),"")</f>
        <v/>
      </c>
      <c r="O134" s="111" t="str">
        <f>IF(AND('Mapa final'!$AB$90="Media",'Mapa final'!$AD$90="Menor"),CONCATENATE("R29C",'Mapa final'!$R$90),"")</f>
        <v/>
      </c>
      <c r="P134" s="49" t="str">
        <f>IF(AND('Mapa final'!$AB$88="Media",'Mapa final'!$AD$88="Moderado"),CONCATENATE("R29C",'Mapa final'!$R$88),"")</f>
        <v/>
      </c>
      <c r="Q134" s="50" t="str">
        <f>IF(AND('Mapa final'!$AB$89="Media",'Mapa final'!$AD$89="Moderado"),CONCATENATE("R29C",'Mapa final'!$R$89),"")</f>
        <v/>
      </c>
      <c r="R134" s="111" t="str">
        <f>IF(AND('Mapa final'!$AB$90="Media",'Mapa final'!$AD$90="Moderado"),CONCATENATE("R29C",'Mapa final'!$R$90),"")</f>
        <v/>
      </c>
      <c r="S134" s="105" t="str">
        <f>IF(AND('Mapa final'!$AB$88="Media",'Mapa final'!$AD$88="Mayor"),CONCATENATE("R29C",'Mapa final'!$R$88),"")</f>
        <v/>
      </c>
      <c r="T134" s="42" t="str">
        <f>IF(AND('Mapa final'!$AB$89="Media",'Mapa final'!$AD$89="Mayor"),CONCATENATE("R29C",'Mapa final'!$R$89),"")</f>
        <v/>
      </c>
      <c r="U134" s="106" t="str">
        <f>IF(AND('Mapa final'!$AB$90="Media",'Mapa final'!$AD$90="Mayor"),CONCATENATE("R29C",'Mapa final'!$R$90),"")</f>
        <v/>
      </c>
      <c r="V134" s="43" t="str">
        <f>IF(AND('Mapa final'!$AB$88="Media",'Mapa final'!$AD$88="Catastrófico"),CONCATENATE("R29C",'Mapa final'!$R$88),"")</f>
        <v/>
      </c>
      <c r="W134" s="44" t="str">
        <f>IF(AND('Mapa final'!$AB$89="Media",'Mapa final'!$AD$89="Catastrófico"),CONCATENATE("R29C",'Mapa final'!$R$89),"")</f>
        <v/>
      </c>
      <c r="X134" s="100" t="str">
        <f>IF(AND('Mapa final'!$AB$90="Media",'Mapa final'!$AD$90="Catastrófico"),CONCATENATE("R29C",'Mapa final'!$R$90),"")</f>
        <v/>
      </c>
      <c r="Y134" s="56"/>
      <c r="Z134" s="318"/>
      <c r="AA134" s="319"/>
      <c r="AB134" s="319"/>
      <c r="AC134" s="319"/>
      <c r="AD134" s="319"/>
      <c r="AE134" s="320"/>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row>
    <row r="135" spans="1:61" ht="15" customHeight="1" x14ac:dyDescent="0.35">
      <c r="A135" s="56"/>
      <c r="B135" s="307"/>
      <c r="C135" s="307"/>
      <c r="D135" s="308"/>
      <c r="E135" s="284"/>
      <c r="F135" s="297"/>
      <c r="G135" s="297"/>
      <c r="H135" s="297"/>
      <c r="I135" s="279"/>
      <c r="J135" s="49" t="str">
        <f>IF(AND('Mapa final'!$AB$91="Media",'Mapa final'!$AD$91="Leve"),CONCATENATE("R30C",'Mapa final'!$R$91),"")</f>
        <v/>
      </c>
      <c r="K135" s="50" t="str">
        <f>IF(AND('Mapa final'!$AB$92="Media",'Mapa final'!$AD$92="Leve"),CONCATENATE("R30C",'Mapa final'!$R$92),"")</f>
        <v/>
      </c>
      <c r="L135" s="111" t="str">
        <f>IF(AND('Mapa final'!$AB$93="Media",'Mapa final'!$AD$93="Leve"),CONCATENATE("R30C",'Mapa final'!$R$93),"")</f>
        <v/>
      </c>
      <c r="M135" s="49" t="str">
        <f>IF(AND('Mapa final'!$AB$91="Media",'Mapa final'!$AD$91="Menor"),CONCATENATE("R30C",'Mapa final'!$R$91),"")</f>
        <v/>
      </c>
      <c r="N135" s="50" t="str">
        <f>IF(AND('Mapa final'!$AB$92="Media",'Mapa final'!$AD$92="Menor"),CONCATENATE("R30C",'Mapa final'!$R$92),"")</f>
        <v/>
      </c>
      <c r="O135" s="111" t="str">
        <f>IF(AND('Mapa final'!$AB$93="Media",'Mapa final'!$AD$93="Menor"),CONCATENATE("R30C",'Mapa final'!$R$93),"")</f>
        <v/>
      </c>
      <c r="P135" s="49" t="str">
        <f>IF(AND('Mapa final'!$AB$91="Media",'Mapa final'!$AD$91="Moderado"),CONCATENATE("R30C",'Mapa final'!$R$91),"")</f>
        <v/>
      </c>
      <c r="Q135" s="50" t="str">
        <f>IF(AND('Mapa final'!$AB$92="Media",'Mapa final'!$AD$92="Moderado"),CONCATENATE("R30C",'Mapa final'!$R$92),"")</f>
        <v/>
      </c>
      <c r="R135" s="111" t="str">
        <f>IF(AND('Mapa final'!$AB$93="Media",'Mapa final'!$AD$93="Moderado"),CONCATENATE("R30C",'Mapa final'!$R$93),"")</f>
        <v/>
      </c>
      <c r="S135" s="105" t="str">
        <f>IF(AND('Mapa final'!$AB$91="Media",'Mapa final'!$AD$91="Mayor"),CONCATENATE("R30C",'Mapa final'!$R$91),"")</f>
        <v>R30C1</v>
      </c>
      <c r="T135" s="42" t="str">
        <f>IF(AND('Mapa final'!$AB$92="Media",'Mapa final'!$AD$92="Mayor"),CONCATENATE("R30C",'Mapa final'!$R$92),"")</f>
        <v/>
      </c>
      <c r="U135" s="106" t="str">
        <f>IF(AND('Mapa final'!$AB$93="Media",'Mapa final'!$AD$93="Mayor"),CONCATENATE("R30C",'Mapa final'!$R$93),"")</f>
        <v/>
      </c>
      <c r="V135" s="43" t="str">
        <f>IF(AND('Mapa final'!$AB$91="Media",'Mapa final'!$AD$91="Catastrófico"),CONCATENATE("R30C",'Mapa final'!$R$91),"")</f>
        <v/>
      </c>
      <c r="W135" s="44" t="str">
        <f>IF(AND('Mapa final'!$AB$92="Media",'Mapa final'!$AD$92="Catastrófico"),CONCATENATE("R30C",'Mapa final'!$R$92),"")</f>
        <v/>
      </c>
      <c r="X135" s="100" t="str">
        <f>IF(AND('Mapa final'!$AB$93="Media",'Mapa final'!$AD$93="Catastrófico"),CONCATENATE("R30C",'Mapa final'!$R$93),"")</f>
        <v/>
      </c>
      <c r="Y135" s="56"/>
      <c r="Z135" s="318"/>
      <c r="AA135" s="319"/>
      <c r="AB135" s="319"/>
      <c r="AC135" s="319"/>
      <c r="AD135" s="319"/>
      <c r="AE135" s="320"/>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row>
    <row r="136" spans="1:61" ht="15" customHeight="1" x14ac:dyDescent="0.35">
      <c r="A136" s="56"/>
      <c r="B136" s="307"/>
      <c r="C136" s="307"/>
      <c r="D136" s="308"/>
      <c r="E136" s="284"/>
      <c r="F136" s="297"/>
      <c r="G136" s="297"/>
      <c r="H136" s="297"/>
      <c r="I136" s="279"/>
      <c r="J136" s="49" t="str">
        <f>IF(AND('Mapa final'!$AB$94="Media",'Mapa final'!$AD$94="Leve"),CONCATENATE("R31C",'Mapa final'!$R$94),"")</f>
        <v/>
      </c>
      <c r="K136" s="50" t="str">
        <f>IF(AND('Mapa final'!$AB$95="Media",'Mapa final'!$AD$95="Leve"),CONCATENATE("R31C",'Mapa final'!$R$95),"")</f>
        <v/>
      </c>
      <c r="L136" s="111" t="str">
        <f>IF(AND('Mapa final'!$AB$96="Media",'Mapa final'!$AD$96="Leve"),CONCATENATE("R31C",'Mapa final'!$R$96),"")</f>
        <v/>
      </c>
      <c r="M136" s="49" t="str">
        <f>IF(AND('Mapa final'!$AB$94="Media",'Mapa final'!$AD$94="Menor"),CONCATENATE("R31C",'Mapa final'!$R$94),"")</f>
        <v/>
      </c>
      <c r="N136" s="50" t="str">
        <f>IF(AND('Mapa final'!$AB$95="Media",'Mapa final'!$AD$95="Menor"),CONCATENATE("R31C",'Mapa final'!$R$95),"")</f>
        <v/>
      </c>
      <c r="O136" s="111" t="str">
        <f>IF(AND('Mapa final'!$AB$96="Media",'Mapa final'!$AD$96="Menor"),CONCATENATE("R31C",'Mapa final'!$R$96),"")</f>
        <v/>
      </c>
      <c r="P136" s="49" t="str">
        <f>IF(AND('Mapa final'!$AB$94="Media",'Mapa final'!$AD$94="Moderado"),CONCATENATE("R31C",'Mapa final'!$R$94),"")</f>
        <v/>
      </c>
      <c r="Q136" s="50" t="str">
        <f>IF(AND('Mapa final'!$AB$95="Media",'Mapa final'!$AD$95="Moderado"),CONCATENATE("R31C",'Mapa final'!$R$95),"")</f>
        <v/>
      </c>
      <c r="R136" s="111" t="str">
        <f>IF(AND('Mapa final'!$AB$96="Media",'Mapa final'!$AD$96="Moderado"),CONCATENATE("R31C",'Mapa final'!$R$96),"")</f>
        <v/>
      </c>
      <c r="S136" s="105" t="str">
        <f>IF(AND('Mapa final'!$AB$94="Media",'Mapa final'!$AD$94="Mayor"),CONCATENATE("R31C",'Mapa final'!$R$94),"")</f>
        <v/>
      </c>
      <c r="T136" s="42" t="str">
        <f>IF(AND('Mapa final'!$AB$95="Media",'Mapa final'!$AD$95="Mayor"),CONCATENATE("R31C",'Mapa final'!$R$95),"")</f>
        <v/>
      </c>
      <c r="U136" s="106" t="str">
        <f>IF(AND('Mapa final'!$AB$96="Media",'Mapa final'!$AD$96="Mayor"),CONCATENATE("R31C",'Mapa final'!$R$96),"")</f>
        <v/>
      </c>
      <c r="V136" s="43" t="str">
        <f>IF(AND('Mapa final'!$AB$94="Media",'Mapa final'!$AD$94="Catastrófico"),CONCATENATE("R31C",'Mapa final'!$R$94),"")</f>
        <v/>
      </c>
      <c r="W136" s="44" t="str">
        <f>IF(AND('Mapa final'!$AB$95="Media",'Mapa final'!$AD$95="Catastrófico"),CONCATENATE("R31C",'Mapa final'!$R$95),"")</f>
        <v/>
      </c>
      <c r="X136" s="100" t="str">
        <f>IF(AND('Mapa final'!$AB$96="Media",'Mapa final'!$AD$96="Catastrófico"),CONCATENATE("R31C",'Mapa final'!$R$96),"")</f>
        <v/>
      </c>
      <c r="Y136" s="56"/>
      <c r="Z136" s="318"/>
      <c r="AA136" s="319"/>
      <c r="AB136" s="319"/>
      <c r="AC136" s="319"/>
      <c r="AD136" s="319"/>
      <c r="AE136" s="320"/>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row>
    <row r="137" spans="1:61" ht="15" customHeight="1" x14ac:dyDescent="0.35">
      <c r="A137" s="56"/>
      <c r="B137" s="307"/>
      <c r="C137" s="307"/>
      <c r="D137" s="308"/>
      <c r="E137" s="284"/>
      <c r="F137" s="297"/>
      <c r="G137" s="297"/>
      <c r="H137" s="297"/>
      <c r="I137" s="279"/>
      <c r="J137" s="49" t="e">
        <f>IF(AND('Mapa final'!#REF!="Media",'Mapa final'!#REF!="Leve"),CONCATENATE("R32C",'Mapa final'!#REF!),"")</f>
        <v>#REF!</v>
      </c>
      <c r="K137" s="50" t="e">
        <f>IF(AND('Mapa final'!#REF!="Media",'Mapa final'!#REF!="Leve"),CONCATENATE("R32C",'Mapa final'!#REF!),"")</f>
        <v>#REF!</v>
      </c>
      <c r="L137" s="111" t="e">
        <f>IF(AND('Mapa final'!#REF!="Media",'Mapa final'!#REF!="Leve"),CONCATENATE("R32C",'Mapa final'!#REF!),"")</f>
        <v>#REF!</v>
      </c>
      <c r="M137" s="49" t="e">
        <f>IF(AND('Mapa final'!#REF!="Media",'Mapa final'!#REF!="Menor"),CONCATENATE("R32C",'Mapa final'!#REF!),"")</f>
        <v>#REF!</v>
      </c>
      <c r="N137" s="50" t="e">
        <f>IF(AND('Mapa final'!#REF!="Media",'Mapa final'!#REF!="Menor"),CONCATENATE("R32C",'Mapa final'!#REF!),"")</f>
        <v>#REF!</v>
      </c>
      <c r="O137" s="111" t="e">
        <f>IF(AND('Mapa final'!#REF!="Media",'Mapa final'!#REF!="Menor"),CONCATENATE("R32C",'Mapa final'!#REF!),"")</f>
        <v>#REF!</v>
      </c>
      <c r="P137" s="49" t="e">
        <f>IF(AND('Mapa final'!#REF!="Media",'Mapa final'!#REF!="Moderado"),CONCATENATE("R32C",'Mapa final'!#REF!),"")</f>
        <v>#REF!</v>
      </c>
      <c r="Q137" s="50" t="e">
        <f>IF(AND('Mapa final'!#REF!="Media",'Mapa final'!#REF!="Moderado"),CONCATENATE("R32C",'Mapa final'!#REF!),"")</f>
        <v>#REF!</v>
      </c>
      <c r="R137" s="111" t="e">
        <f>IF(AND('Mapa final'!#REF!="Media",'Mapa final'!#REF!="Moderado"),CONCATENATE("R32C",'Mapa final'!#REF!),"")</f>
        <v>#REF!</v>
      </c>
      <c r="S137" s="105" t="e">
        <f>IF(AND('Mapa final'!#REF!="Media",'Mapa final'!#REF!="Mayor"),CONCATENATE("R32C",'Mapa final'!#REF!),"")</f>
        <v>#REF!</v>
      </c>
      <c r="T137" s="42" t="e">
        <f>IF(AND('Mapa final'!#REF!="Media",'Mapa final'!#REF!="Mayor"),CONCATENATE("R32C",'Mapa final'!#REF!),"")</f>
        <v>#REF!</v>
      </c>
      <c r="U137" s="106" t="e">
        <f>IF(AND('Mapa final'!#REF!="Media",'Mapa final'!#REF!="Mayor"),CONCATENATE("R32C",'Mapa final'!#REF!),"")</f>
        <v>#REF!</v>
      </c>
      <c r="V137" s="43" t="e">
        <f>IF(AND('Mapa final'!#REF!="Media",'Mapa final'!#REF!="Catastrófico"),CONCATENATE("R32C",'Mapa final'!#REF!),"")</f>
        <v>#REF!</v>
      </c>
      <c r="W137" s="44" t="e">
        <f>IF(AND('Mapa final'!#REF!="Media",'Mapa final'!#REF!="Catastrófico"),CONCATENATE("R32C",'Mapa final'!#REF!),"")</f>
        <v>#REF!</v>
      </c>
      <c r="X137" s="100" t="e">
        <f>IF(AND('Mapa final'!#REF!="Media",'Mapa final'!#REF!="Catastrófico"),CONCATENATE("R32C",'Mapa final'!#REF!),"")</f>
        <v>#REF!</v>
      </c>
      <c r="Y137" s="56"/>
      <c r="Z137" s="318"/>
      <c r="AA137" s="319"/>
      <c r="AB137" s="319"/>
      <c r="AC137" s="319"/>
      <c r="AD137" s="319"/>
      <c r="AE137" s="320"/>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row>
    <row r="138" spans="1:61" ht="15" customHeight="1" x14ac:dyDescent="0.35">
      <c r="A138" s="56"/>
      <c r="B138" s="307"/>
      <c r="C138" s="307"/>
      <c r="D138" s="308"/>
      <c r="E138" s="284"/>
      <c r="F138" s="297"/>
      <c r="G138" s="297"/>
      <c r="H138" s="297"/>
      <c r="I138" s="279"/>
      <c r="J138" s="49" t="str">
        <f>IF(AND('Mapa final'!$AB$97="Media",'Mapa final'!$AD$97="Leve"),CONCATENATE("R33C",'Mapa final'!$R$97),"")</f>
        <v/>
      </c>
      <c r="K138" s="50" t="str">
        <f>IF(AND('Mapa final'!$AB$98="Media",'Mapa final'!$AD$98="Leve"),CONCATENATE("R33C",'Mapa final'!$R$98),"")</f>
        <v/>
      </c>
      <c r="L138" s="111" t="str">
        <f>IF(AND('Mapa final'!$AB$99="Media",'Mapa final'!$AD$99="Leve"),CONCATENATE("R33C",'Mapa final'!$R$99),"")</f>
        <v/>
      </c>
      <c r="M138" s="49" t="str">
        <f>IF(AND('Mapa final'!$AB$97="Media",'Mapa final'!$AD$97="Menor"),CONCATENATE("R33C",'Mapa final'!$R$97),"")</f>
        <v/>
      </c>
      <c r="N138" s="50" t="str">
        <f>IF(AND('Mapa final'!$AB$98="Media",'Mapa final'!$AD$98="Menor"),CONCATENATE("R33C",'Mapa final'!$R$98),"")</f>
        <v/>
      </c>
      <c r="O138" s="111" t="str">
        <f>IF(AND('Mapa final'!$AB$99="Media",'Mapa final'!$AD$99="Menor"),CONCATENATE("R33C",'Mapa final'!$R$99),"")</f>
        <v/>
      </c>
      <c r="P138" s="49" t="str">
        <f>IF(AND('Mapa final'!$AB$97="Media",'Mapa final'!$AD$97="Moderado"),CONCATENATE("R33C",'Mapa final'!$R$97),"")</f>
        <v>R33C1</v>
      </c>
      <c r="Q138" s="50" t="str">
        <f>IF(AND('Mapa final'!$AB$98="Media",'Mapa final'!$AD$98="Moderado"),CONCATENATE("R33C",'Mapa final'!$R$98),"")</f>
        <v/>
      </c>
      <c r="R138" s="111" t="str">
        <f>IF(AND('Mapa final'!$AB$99="Media",'Mapa final'!$AD$99="Moderado"),CONCATENATE("R33C",'Mapa final'!$R$99),"")</f>
        <v/>
      </c>
      <c r="S138" s="105" t="str">
        <f>IF(AND('Mapa final'!$AB$97="Media",'Mapa final'!$AD$97="Mayor"),CONCATENATE("R33C",'Mapa final'!$R$97),"")</f>
        <v/>
      </c>
      <c r="T138" s="42" t="str">
        <f>IF(AND('Mapa final'!$AB$98="Media",'Mapa final'!$AD$98="Mayor"),CONCATENATE("R33C",'Mapa final'!$R$98),"")</f>
        <v/>
      </c>
      <c r="U138" s="106" t="str">
        <f>IF(AND('Mapa final'!$AB$99="Media",'Mapa final'!$AD$99="Mayor"),CONCATENATE("R33C",'Mapa final'!$R$99),"")</f>
        <v/>
      </c>
      <c r="V138" s="43" t="str">
        <f>IF(AND('Mapa final'!$AB$97="Media",'Mapa final'!$AD$97="Catastrófico"),CONCATENATE("R33C",'Mapa final'!$R$97),"")</f>
        <v/>
      </c>
      <c r="W138" s="44" t="str">
        <f>IF(AND('Mapa final'!$AB$98="Media",'Mapa final'!$AD$98="Catastrófico"),CONCATENATE("R33C",'Mapa final'!$R$98),"")</f>
        <v/>
      </c>
      <c r="X138" s="100" t="str">
        <f>IF(AND('Mapa final'!$AB$99="Media",'Mapa final'!$AD$99="Catastrófico"),CONCATENATE("R33C",'Mapa final'!$R$99),"")</f>
        <v/>
      </c>
      <c r="Y138" s="56"/>
      <c r="Z138" s="318"/>
      <c r="AA138" s="319"/>
      <c r="AB138" s="319"/>
      <c r="AC138" s="319"/>
      <c r="AD138" s="319"/>
      <c r="AE138" s="320"/>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row>
    <row r="139" spans="1:61" ht="15" customHeight="1" x14ac:dyDescent="0.35">
      <c r="A139" s="56"/>
      <c r="B139" s="307"/>
      <c r="C139" s="307"/>
      <c r="D139" s="308"/>
      <c r="E139" s="284"/>
      <c r="F139" s="297"/>
      <c r="G139" s="297"/>
      <c r="H139" s="297"/>
      <c r="I139" s="279"/>
      <c r="J139" s="49" t="str">
        <f>IF(AND('Mapa final'!$AB$100="Media",'Mapa final'!$AD$100="Leve"),CONCATENATE("R34C",'Mapa final'!$R$100),"")</f>
        <v/>
      </c>
      <c r="K139" s="50" t="str">
        <f>IF(AND('Mapa final'!$AB$101="Media",'Mapa final'!$AD$101="Leve"),CONCATENATE("R34C",'Mapa final'!$R$101),"")</f>
        <v/>
      </c>
      <c r="L139" s="111" t="str">
        <f>IF(AND('Mapa final'!$AB$102="Media",'Mapa final'!$AD$102="Leve"),CONCATENATE("R34C",'Mapa final'!$R$102),"")</f>
        <v/>
      </c>
      <c r="M139" s="49" t="str">
        <f>IF(AND('Mapa final'!$AB$100="Media",'Mapa final'!$AD$100="Menor"),CONCATENATE("R34C",'Mapa final'!$R$100),"")</f>
        <v/>
      </c>
      <c r="N139" s="50" t="str">
        <f>IF(AND('Mapa final'!$AB$101="Media",'Mapa final'!$AD$101="Menor"),CONCATENATE("R34C",'Mapa final'!$R$101),"")</f>
        <v/>
      </c>
      <c r="O139" s="111" t="str">
        <f>IF(AND('Mapa final'!$AB$102="Media",'Mapa final'!$AD$102="Menor"),CONCATENATE("R34C",'Mapa final'!$R$102),"")</f>
        <v/>
      </c>
      <c r="P139" s="49" t="str">
        <f>IF(AND('Mapa final'!$AB$100="Media",'Mapa final'!$AD$100="Moderado"),CONCATENATE("R34C",'Mapa final'!$R$100),"")</f>
        <v>R34C1</v>
      </c>
      <c r="Q139" s="50" t="str">
        <f>IF(AND('Mapa final'!$AB$101="Media",'Mapa final'!$AD$101="Moderado"),CONCATENATE("R34C",'Mapa final'!$R$101),"")</f>
        <v/>
      </c>
      <c r="R139" s="111" t="str">
        <f>IF(AND('Mapa final'!$AB$102="Media",'Mapa final'!$AD$102="Moderado"),CONCATENATE("R34C",'Mapa final'!$R$102),"")</f>
        <v/>
      </c>
      <c r="S139" s="105" t="str">
        <f>IF(AND('Mapa final'!$AB$100="Media",'Mapa final'!$AD$100="Mayor"),CONCATENATE("R34C",'Mapa final'!$R$100),"")</f>
        <v/>
      </c>
      <c r="T139" s="42" t="str">
        <f>IF(AND('Mapa final'!$AB$101="Media",'Mapa final'!$AD$101="Mayor"),CONCATENATE("R34C",'Mapa final'!$R$101),"")</f>
        <v/>
      </c>
      <c r="U139" s="106" t="str">
        <f>IF(AND('Mapa final'!$AB$102="Media",'Mapa final'!$AD$102="Mayor"),CONCATENATE("R34C",'Mapa final'!$R$102),"")</f>
        <v/>
      </c>
      <c r="V139" s="43" t="str">
        <f>IF(AND('Mapa final'!$AB$100="Media",'Mapa final'!$AD$100="Catastrófico"),CONCATENATE("R34C",'Mapa final'!$R$100),"")</f>
        <v/>
      </c>
      <c r="W139" s="44" t="str">
        <f>IF(AND('Mapa final'!$AB$101="Media",'Mapa final'!$AD$101="Catastrófico"),CONCATENATE("R34C",'Mapa final'!$R$101),"")</f>
        <v/>
      </c>
      <c r="X139" s="100" t="str">
        <f>IF(AND('Mapa final'!$AB$102="Media",'Mapa final'!$AD$102="Catastrófico"),CONCATENATE("R34C",'Mapa final'!$R$102),"")</f>
        <v/>
      </c>
      <c r="Y139" s="56"/>
      <c r="Z139" s="318"/>
      <c r="AA139" s="319"/>
      <c r="AB139" s="319"/>
      <c r="AC139" s="319"/>
      <c r="AD139" s="319"/>
      <c r="AE139" s="320"/>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row>
    <row r="140" spans="1:61" ht="15" customHeight="1" x14ac:dyDescent="0.35">
      <c r="A140" s="56"/>
      <c r="B140" s="307"/>
      <c r="C140" s="307"/>
      <c r="D140" s="308"/>
      <c r="E140" s="284"/>
      <c r="F140" s="297"/>
      <c r="G140" s="297"/>
      <c r="H140" s="297"/>
      <c r="I140" s="279"/>
      <c r="J140" s="49" t="str">
        <f>IF(AND('Mapa final'!$AB$103="Media",'Mapa final'!$AD$103="Leve"),CONCATENATE("R35C",'Mapa final'!$R$103),"")</f>
        <v/>
      </c>
      <c r="K140" s="50" t="str">
        <f>IF(AND('Mapa final'!$AB$104="Media",'Mapa final'!$AD$104="Leve"),CONCATENATE("R35C",'Mapa final'!$R$104),"")</f>
        <v/>
      </c>
      <c r="L140" s="111" t="str">
        <f>IF(AND('Mapa final'!$AB$105="Media",'Mapa final'!$AD$105="Leve"),CONCATENATE("R35C",'Mapa final'!$R$105),"")</f>
        <v/>
      </c>
      <c r="M140" s="49" t="str">
        <f>IF(AND('Mapa final'!$AB$103="Media",'Mapa final'!$AD$103="Menor"),CONCATENATE("R35C",'Mapa final'!$R$103),"")</f>
        <v/>
      </c>
      <c r="N140" s="50" t="str">
        <f>IF(AND('Mapa final'!$AB$104="Media",'Mapa final'!$AD$104="Menor"),CONCATENATE("R35C",'Mapa final'!$R$104),"")</f>
        <v/>
      </c>
      <c r="O140" s="111" t="str">
        <f>IF(AND('Mapa final'!$AB$105="Media",'Mapa final'!$AD$105="Menor"),CONCATENATE("R35C",'Mapa final'!$R$105),"")</f>
        <v/>
      </c>
      <c r="P140" s="49" t="str">
        <f>IF(AND('Mapa final'!$AB$103="Media",'Mapa final'!$AD$103="Moderado"),CONCATENATE("R35C",'Mapa final'!$R$103),"")</f>
        <v/>
      </c>
      <c r="Q140" s="50" t="str">
        <f>IF(AND('Mapa final'!$AB$104="Media",'Mapa final'!$AD$104="Moderado"),CONCATENATE("R35C",'Mapa final'!$R$104),"")</f>
        <v/>
      </c>
      <c r="R140" s="111" t="str">
        <f>IF(AND('Mapa final'!$AB$105="Media",'Mapa final'!$AD$105="Moderado"),CONCATENATE("R35C",'Mapa final'!$R$105),"")</f>
        <v/>
      </c>
      <c r="S140" s="105" t="str">
        <f>IF(AND('Mapa final'!$AB$103="Media",'Mapa final'!$AD$103="Mayor"),CONCATENATE("R35C",'Mapa final'!$R$103),"")</f>
        <v/>
      </c>
      <c r="T140" s="42" t="str">
        <f>IF(AND('Mapa final'!$AB$104="Media",'Mapa final'!$AD$104="Mayor"),CONCATENATE("R35C",'Mapa final'!$R$104),"")</f>
        <v/>
      </c>
      <c r="U140" s="106" t="str">
        <f>IF(AND('Mapa final'!$AB$105="Media",'Mapa final'!$AD$105="Mayor"),CONCATENATE("R35C",'Mapa final'!$R$105),"")</f>
        <v/>
      </c>
      <c r="V140" s="43" t="str">
        <f>IF(AND('Mapa final'!$AB$103="Media",'Mapa final'!$AD$103="Catastrófico"),CONCATENATE("R35C",'Mapa final'!$R$103),"")</f>
        <v/>
      </c>
      <c r="W140" s="44" t="str">
        <f>IF(AND('Mapa final'!$AB$104="Media",'Mapa final'!$AD$104="Catastrófico"),CONCATENATE("R35C",'Mapa final'!$R$104),"")</f>
        <v/>
      </c>
      <c r="X140" s="100" t="str">
        <f>IF(AND('Mapa final'!$AB$105="Media",'Mapa final'!$AD$105="Catastrófico"),CONCATENATE("R35C",'Mapa final'!$R$105),"")</f>
        <v/>
      </c>
      <c r="Y140" s="56"/>
      <c r="Z140" s="318"/>
      <c r="AA140" s="319"/>
      <c r="AB140" s="319"/>
      <c r="AC140" s="319"/>
      <c r="AD140" s="319"/>
      <c r="AE140" s="320"/>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row>
    <row r="141" spans="1:61" ht="15" customHeight="1" x14ac:dyDescent="0.35">
      <c r="A141" s="56"/>
      <c r="B141" s="307"/>
      <c r="C141" s="307"/>
      <c r="D141" s="308"/>
      <c r="E141" s="284"/>
      <c r="F141" s="297"/>
      <c r="G141" s="297"/>
      <c r="H141" s="297"/>
      <c r="I141" s="279"/>
      <c r="J141" s="49" t="str">
        <f>IF(AND('Mapa final'!$AB$106="Media",'Mapa final'!$AD$106="Leve"),CONCATENATE("R36C",'Mapa final'!$R$106),"")</f>
        <v/>
      </c>
      <c r="K141" s="50" t="str">
        <f>IF(AND('Mapa final'!$AB$107="Media",'Mapa final'!$AD$107="Leve"),CONCATENATE("R36C",'Mapa final'!$R$107),"")</f>
        <v/>
      </c>
      <c r="L141" s="111" t="str">
        <f>IF(AND('Mapa final'!$AB$108="Media",'Mapa final'!$AD$108="Leve"),CONCATENATE("R36C",'Mapa final'!$R$108),"")</f>
        <v/>
      </c>
      <c r="M141" s="49" t="str">
        <f>IF(AND('Mapa final'!$AB$106="Media",'Mapa final'!$AD$106="Menor"),CONCATENATE("R36C",'Mapa final'!$R$106),"")</f>
        <v/>
      </c>
      <c r="N141" s="50" t="str">
        <f>IF(AND('Mapa final'!$AB$107="Media",'Mapa final'!$AD$107="Menor"),CONCATENATE("R36C",'Mapa final'!$R$107),"")</f>
        <v/>
      </c>
      <c r="O141" s="111" t="str">
        <f>IF(AND('Mapa final'!$AB$108="Media",'Mapa final'!$AD$108="Menor"),CONCATENATE("R36C",'Mapa final'!$R$108),"")</f>
        <v/>
      </c>
      <c r="P141" s="49" t="str">
        <f>IF(AND('Mapa final'!$AB$106="Media",'Mapa final'!$AD$106="Moderado"),CONCATENATE("R36C",'Mapa final'!$R$106),"")</f>
        <v/>
      </c>
      <c r="Q141" s="50" t="str">
        <f>IF(AND('Mapa final'!$AB$107="Media",'Mapa final'!$AD$107="Moderado"),CONCATENATE("R36C",'Mapa final'!$R$107),"")</f>
        <v/>
      </c>
      <c r="R141" s="111" t="str">
        <f>IF(AND('Mapa final'!$AB$108="Media",'Mapa final'!$AD$108="Moderado"),CONCATENATE("R36C",'Mapa final'!$R$108),"")</f>
        <v/>
      </c>
      <c r="S141" s="105" t="str">
        <f>IF(AND('Mapa final'!$AB$106="Media",'Mapa final'!$AD$106="Mayor"),CONCATENATE("R36C",'Mapa final'!$R$106),"")</f>
        <v/>
      </c>
      <c r="T141" s="42" t="str">
        <f>IF(AND('Mapa final'!$AB$107="Media",'Mapa final'!$AD$107="Mayor"),CONCATENATE("R36C",'Mapa final'!$R$107),"")</f>
        <v/>
      </c>
      <c r="U141" s="106" t="str">
        <f>IF(AND('Mapa final'!$AB$108="Media",'Mapa final'!$AD$108="Mayor"),CONCATENATE("R36C",'Mapa final'!$R$108),"")</f>
        <v/>
      </c>
      <c r="V141" s="43" t="str">
        <f>IF(AND('Mapa final'!$AB$106="Media",'Mapa final'!$AD$106="Catastrófico"),CONCATENATE("R36C",'Mapa final'!$R$106),"")</f>
        <v/>
      </c>
      <c r="W141" s="44" t="str">
        <f>IF(AND('Mapa final'!$AB$107="Media",'Mapa final'!$AD$107="Catastrófico"),CONCATENATE("R36C",'Mapa final'!$R$107),"")</f>
        <v/>
      </c>
      <c r="X141" s="100" t="str">
        <f>IF(AND('Mapa final'!$AB$108="Media",'Mapa final'!$AD$108="Catastrófico"),CONCATENATE("R36C",'Mapa final'!$R$108),"")</f>
        <v/>
      </c>
      <c r="Y141" s="56"/>
      <c r="Z141" s="318"/>
      <c r="AA141" s="319"/>
      <c r="AB141" s="319"/>
      <c r="AC141" s="319"/>
      <c r="AD141" s="319"/>
      <c r="AE141" s="320"/>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row>
    <row r="142" spans="1:61" ht="15" customHeight="1" x14ac:dyDescent="0.35">
      <c r="A142" s="56"/>
      <c r="B142" s="307"/>
      <c r="C142" s="307"/>
      <c r="D142" s="308"/>
      <c r="E142" s="284"/>
      <c r="F142" s="297"/>
      <c r="G142" s="297"/>
      <c r="H142" s="297"/>
      <c r="I142" s="279"/>
      <c r="J142" s="49" t="str">
        <f>IF(AND('Mapa final'!$AB$109="Media",'Mapa final'!$AD$109="Leve"),CONCATENATE("R37C",'Mapa final'!$R$109),"")</f>
        <v/>
      </c>
      <c r="K142" s="50" t="str">
        <f>IF(AND('Mapa final'!$AB$110="Media",'Mapa final'!$AD$110="Leve"),CONCATENATE("R37C",'Mapa final'!$R$110),"")</f>
        <v/>
      </c>
      <c r="L142" s="111" t="str">
        <f>IF(AND('Mapa final'!$AB$111="Media",'Mapa final'!$AD$111="Leve"),CONCATENATE("R37C",'Mapa final'!$R$111),"")</f>
        <v/>
      </c>
      <c r="M142" s="49" t="str">
        <f>IF(AND('Mapa final'!$AB$109="Media",'Mapa final'!$AD$109="Menor"),CONCATENATE("R37C",'Mapa final'!$R$109),"")</f>
        <v/>
      </c>
      <c r="N142" s="50" t="str">
        <f>IF(AND('Mapa final'!$AB$110="Media",'Mapa final'!$AD$110="Menor"),CONCATENATE("R37C",'Mapa final'!$R$110),"")</f>
        <v/>
      </c>
      <c r="O142" s="111" t="str">
        <f>IF(AND('Mapa final'!$AB$111="Media",'Mapa final'!$AD$111="Menor"),CONCATENATE("R37C",'Mapa final'!$R$111),"")</f>
        <v/>
      </c>
      <c r="P142" s="49" t="str">
        <f>IF(AND('Mapa final'!$AB$109="Media",'Mapa final'!$AD$109="Moderado"),CONCATENATE("R37C",'Mapa final'!$R$109),"")</f>
        <v/>
      </c>
      <c r="Q142" s="50" t="str">
        <f>IF(AND('Mapa final'!$AB$110="Media",'Mapa final'!$AD$110="Moderado"),CONCATENATE("R37C",'Mapa final'!$R$110),"")</f>
        <v/>
      </c>
      <c r="R142" s="111" t="str">
        <f>IF(AND('Mapa final'!$AB$111="Media",'Mapa final'!$AD$111="Moderado"),CONCATENATE("R37C",'Mapa final'!$R$111),"")</f>
        <v/>
      </c>
      <c r="S142" s="105" t="str">
        <f>IF(AND('Mapa final'!$AB$109="Media",'Mapa final'!$AD$109="Mayor"),CONCATENATE("R37C",'Mapa final'!$R$109),"")</f>
        <v/>
      </c>
      <c r="T142" s="42" t="str">
        <f>IF(AND('Mapa final'!$AB$110="Media",'Mapa final'!$AD$110="Mayor"),CONCATENATE("R37C",'Mapa final'!$R$110),"")</f>
        <v/>
      </c>
      <c r="U142" s="106" t="str">
        <f>IF(AND('Mapa final'!$AB$111="Media",'Mapa final'!$AD$111="Mayor"),CONCATENATE("R37C",'Mapa final'!$R$111),"")</f>
        <v/>
      </c>
      <c r="V142" s="43" t="str">
        <f>IF(AND('Mapa final'!$AB$109="Media",'Mapa final'!$AD$109="Catastrófico"),CONCATENATE("R37C",'Mapa final'!$R$109),"")</f>
        <v/>
      </c>
      <c r="W142" s="44" t="str">
        <f>IF(AND('Mapa final'!$AB$110="Media",'Mapa final'!$AD$110="Catastrófico"),CONCATENATE("R37C",'Mapa final'!$R$110),"")</f>
        <v/>
      </c>
      <c r="X142" s="100" t="str">
        <f>IF(AND('Mapa final'!$AB$111="Media",'Mapa final'!$AD$111="Catastrófico"),CONCATENATE("R37C",'Mapa final'!$R$111),"")</f>
        <v/>
      </c>
      <c r="Y142" s="56"/>
      <c r="Z142" s="318"/>
      <c r="AA142" s="319"/>
      <c r="AB142" s="319"/>
      <c r="AC142" s="319"/>
      <c r="AD142" s="319"/>
      <c r="AE142" s="320"/>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row>
    <row r="143" spans="1:61" ht="15" customHeight="1" x14ac:dyDescent="0.35">
      <c r="A143" s="56"/>
      <c r="B143" s="307"/>
      <c r="C143" s="307"/>
      <c r="D143" s="308"/>
      <c r="E143" s="284"/>
      <c r="F143" s="297"/>
      <c r="G143" s="297"/>
      <c r="H143" s="297"/>
      <c r="I143" s="279"/>
      <c r="J143" s="49" t="str">
        <f>IF(AND('Mapa final'!$AB$112="Media",'Mapa final'!$AD$112="Leve"),CONCATENATE("R38C",'Mapa final'!$R$112),"")</f>
        <v/>
      </c>
      <c r="K143" s="50" t="str">
        <f>IF(AND('Mapa final'!$AB$113="Media",'Mapa final'!$AD$113="Leve"),CONCATENATE("R38C",'Mapa final'!$R$113),"")</f>
        <v/>
      </c>
      <c r="L143" s="111" t="str">
        <f>IF(AND('Mapa final'!$AB$114="Media",'Mapa final'!$AD$114="Leve"),CONCATENATE("R38C",'Mapa final'!$R$114),"")</f>
        <v/>
      </c>
      <c r="M143" s="49" t="str">
        <f>IF(AND('Mapa final'!$AB$112="Media",'Mapa final'!$AD$112="Menor"),CONCATENATE("R38C",'Mapa final'!$R$112),"")</f>
        <v/>
      </c>
      <c r="N143" s="50" t="str">
        <f>IF(AND('Mapa final'!$AB$113="Media",'Mapa final'!$AD$113="Menor"),CONCATENATE("R38C",'Mapa final'!$R$113),"")</f>
        <v/>
      </c>
      <c r="O143" s="111" t="str">
        <f>IF(AND('Mapa final'!$AB$114="Media",'Mapa final'!$AD$114="Menor"),CONCATENATE("R38C",'Mapa final'!$R$114),"")</f>
        <v/>
      </c>
      <c r="P143" s="49" t="str">
        <f>IF(AND('Mapa final'!$AB$112="Media",'Mapa final'!$AD$112="Moderado"),CONCATENATE("R38C",'Mapa final'!$R$112),"")</f>
        <v/>
      </c>
      <c r="Q143" s="50" t="str">
        <f>IF(AND('Mapa final'!$AB$113="Media",'Mapa final'!$AD$113="Moderado"),CONCATENATE("R38C",'Mapa final'!$R$113),"")</f>
        <v/>
      </c>
      <c r="R143" s="111" t="str">
        <f>IF(AND('Mapa final'!$AB$114="Media",'Mapa final'!$AD$114="Moderado"),CONCATENATE("R38C",'Mapa final'!$R$114),"")</f>
        <v/>
      </c>
      <c r="S143" s="105" t="str">
        <f>IF(AND('Mapa final'!$AB$112="Media",'Mapa final'!$AD$112="Mayor"),CONCATENATE("R38C",'Mapa final'!$R$112),"")</f>
        <v/>
      </c>
      <c r="T143" s="42" t="str">
        <f>IF(AND('Mapa final'!$AB$113="Media",'Mapa final'!$AD$113="Mayor"),CONCATENATE("R38C",'Mapa final'!$R$113),"")</f>
        <v/>
      </c>
      <c r="U143" s="106" t="str">
        <f>IF(AND('Mapa final'!$AB$114="Media",'Mapa final'!$AD$114="Mayor"),CONCATENATE("R38C",'Mapa final'!$R$114),"")</f>
        <v/>
      </c>
      <c r="V143" s="43" t="str">
        <f>IF(AND('Mapa final'!$AB$112="Media",'Mapa final'!$AD$112="Catastrófico"),CONCATENATE("R38C",'Mapa final'!$R$112),"")</f>
        <v/>
      </c>
      <c r="W143" s="44" t="str">
        <f>IF(AND('Mapa final'!$AB$113="Media",'Mapa final'!$AD$113="Catastrófico"),CONCATENATE("R38C",'Mapa final'!$R$113),"")</f>
        <v/>
      </c>
      <c r="X143" s="100" t="str">
        <f>IF(AND('Mapa final'!$AB$114="Media",'Mapa final'!$AD$114="Catastrófico"),CONCATENATE("R38C",'Mapa final'!$R$114),"")</f>
        <v/>
      </c>
      <c r="Y143" s="56"/>
      <c r="Z143" s="318"/>
      <c r="AA143" s="319"/>
      <c r="AB143" s="319"/>
      <c r="AC143" s="319"/>
      <c r="AD143" s="319"/>
      <c r="AE143" s="320"/>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row>
    <row r="144" spans="1:61" ht="15" customHeight="1" x14ac:dyDescent="0.35">
      <c r="A144" s="56"/>
      <c r="B144" s="307"/>
      <c r="C144" s="307"/>
      <c r="D144" s="308"/>
      <c r="E144" s="284"/>
      <c r="F144" s="297"/>
      <c r="G144" s="297"/>
      <c r="H144" s="297"/>
      <c r="I144" s="279"/>
      <c r="J144" s="49" t="str">
        <f>IF(AND('Mapa final'!$AB$115="Media",'Mapa final'!$AD$115="Leve"),CONCATENATE("R39C",'Mapa final'!$R$115),"")</f>
        <v/>
      </c>
      <c r="K144" s="50" t="str">
        <f>IF(AND('Mapa final'!$AB$116="Media",'Mapa final'!$AD$116="Leve"),CONCATENATE("R39C",'Mapa final'!$R$116),"")</f>
        <v/>
      </c>
      <c r="L144" s="111" t="str">
        <f>IF(AND('Mapa final'!$AB$117="Media",'Mapa final'!$AD$117="Leve"),CONCATENATE("R39C",'Mapa final'!$R$117),"")</f>
        <v/>
      </c>
      <c r="M144" s="49" t="str">
        <f>IF(AND('Mapa final'!$AB$115="Media",'Mapa final'!$AD$115="Menor"),CONCATENATE("R39C",'Mapa final'!$R$115),"")</f>
        <v/>
      </c>
      <c r="N144" s="50" t="str">
        <f>IF(AND('Mapa final'!$AB$116="Media",'Mapa final'!$AD$116="Menor"),CONCATENATE("R39C",'Mapa final'!$R$116),"")</f>
        <v/>
      </c>
      <c r="O144" s="111" t="str">
        <f>IF(AND('Mapa final'!$AB$117="Media",'Mapa final'!$AD$117="Menor"),CONCATENATE("R39C",'Mapa final'!$R$117),"")</f>
        <v/>
      </c>
      <c r="P144" s="49" t="str">
        <f>IF(AND('Mapa final'!$AB$115="Media",'Mapa final'!$AD$115="Moderado"),CONCATENATE("R39C",'Mapa final'!$R$115),"")</f>
        <v>R39C1</v>
      </c>
      <c r="Q144" s="50" t="str">
        <f>IF(AND('Mapa final'!$AB$116="Media",'Mapa final'!$AD$116="Moderado"),CONCATENATE("R39C",'Mapa final'!$R$116),"")</f>
        <v/>
      </c>
      <c r="R144" s="111" t="str">
        <f>IF(AND('Mapa final'!$AB$117="Media",'Mapa final'!$AD$117="Moderado"),CONCATENATE("R39C",'Mapa final'!$R$117),"")</f>
        <v/>
      </c>
      <c r="S144" s="105" t="str">
        <f>IF(AND('Mapa final'!$AB$115="Media",'Mapa final'!$AD$115="Mayor"),CONCATENATE("R39C",'Mapa final'!$R$115),"")</f>
        <v/>
      </c>
      <c r="T144" s="42" t="str">
        <f>IF(AND('Mapa final'!$AB$116="Media",'Mapa final'!$AD$116="Mayor"),CONCATENATE("R39C",'Mapa final'!$R$116),"")</f>
        <v/>
      </c>
      <c r="U144" s="106" t="str">
        <f>IF(AND('Mapa final'!$AB$117="Media",'Mapa final'!$AD$117="Mayor"),CONCATENATE("R39C",'Mapa final'!$R$117),"")</f>
        <v/>
      </c>
      <c r="V144" s="43" t="str">
        <f>IF(AND('Mapa final'!$AB$115="Media",'Mapa final'!$AD$115="Catastrófico"),CONCATENATE("R39C",'Mapa final'!$R$115),"")</f>
        <v/>
      </c>
      <c r="W144" s="44" t="str">
        <f>IF(AND('Mapa final'!$AB$116="Media",'Mapa final'!$AD$116="Catastrófico"),CONCATENATE("R39C",'Mapa final'!$R$116),"")</f>
        <v/>
      </c>
      <c r="X144" s="100" t="str">
        <f>IF(AND('Mapa final'!$AB$117="Media",'Mapa final'!$AD$117="Catastrófico"),CONCATENATE("R39C",'Mapa final'!$R$117),"")</f>
        <v/>
      </c>
      <c r="Y144" s="56"/>
      <c r="Z144" s="318"/>
      <c r="AA144" s="319"/>
      <c r="AB144" s="319"/>
      <c r="AC144" s="319"/>
      <c r="AD144" s="319"/>
      <c r="AE144" s="320"/>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row>
    <row r="145" spans="1:61" ht="15" customHeight="1" x14ac:dyDescent="0.35">
      <c r="A145" s="56"/>
      <c r="B145" s="307"/>
      <c r="C145" s="307"/>
      <c r="D145" s="308"/>
      <c r="E145" s="284"/>
      <c r="F145" s="297"/>
      <c r="G145" s="297"/>
      <c r="H145" s="297"/>
      <c r="I145" s="279"/>
      <c r="J145" s="49" t="str">
        <f>IF(AND('Mapa final'!$AB$118="Media",'Mapa final'!$AD$118="Leve"),CONCATENATE("R40C",'Mapa final'!$R$118),"")</f>
        <v/>
      </c>
      <c r="K145" s="50" t="str">
        <f>IF(AND('Mapa final'!$AB$119="Media",'Mapa final'!$AD$119="Leve"),CONCATENATE("R40C",'Mapa final'!$R$119),"")</f>
        <v/>
      </c>
      <c r="L145" s="111" t="str">
        <f>IF(AND('Mapa final'!$AB$120="Media",'Mapa final'!$AD$120="Leve"),CONCATENATE("R40C",'Mapa final'!$R$120),"")</f>
        <v/>
      </c>
      <c r="M145" s="49" t="str">
        <f>IF(AND('Mapa final'!$AB$118="Media",'Mapa final'!$AD$118="Menor"),CONCATENATE("R40C",'Mapa final'!$R$118),"")</f>
        <v/>
      </c>
      <c r="N145" s="50" t="str">
        <f>IF(AND('Mapa final'!$AB$119="Media",'Mapa final'!$AD$119="Menor"),CONCATENATE("R40C",'Mapa final'!$R$119),"")</f>
        <v/>
      </c>
      <c r="O145" s="111" t="str">
        <f>IF(AND('Mapa final'!$AB$120="Media",'Mapa final'!$AD$120="Menor"),CONCATENATE("R40C",'Mapa final'!$R$120),"")</f>
        <v/>
      </c>
      <c r="P145" s="49" t="str">
        <f>IF(AND('Mapa final'!$AB$118="Media",'Mapa final'!$AD$118="Moderado"),CONCATENATE("R40C",'Mapa final'!$R$118),"")</f>
        <v/>
      </c>
      <c r="Q145" s="50" t="str">
        <f>IF(AND('Mapa final'!$AB$119="Media",'Mapa final'!$AD$119="Moderado"),CONCATENATE("R40C",'Mapa final'!$R$119),"")</f>
        <v/>
      </c>
      <c r="R145" s="111" t="str">
        <f>IF(AND('Mapa final'!$AB$120="Media",'Mapa final'!$AD$120="Moderado"),CONCATENATE("R40C",'Mapa final'!$R$120),"")</f>
        <v/>
      </c>
      <c r="S145" s="105" t="str">
        <f>IF(AND('Mapa final'!$AB$118="Media",'Mapa final'!$AD$118="Mayor"),CONCATENATE("R40C",'Mapa final'!$R$118),"")</f>
        <v/>
      </c>
      <c r="T145" s="42" t="str">
        <f>IF(AND('Mapa final'!$AB$119="Media",'Mapa final'!$AD$119="Mayor"),CONCATENATE("R40C",'Mapa final'!$R$119),"")</f>
        <v/>
      </c>
      <c r="U145" s="106" t="str">
        <f>IF(AND('Mapa final'!$AB$120="Media",'Mapa final'!$AD$120="Mayor"),CONCATENATE("R40C",'Mapa final'!$R$120),"")</f>
        <v/>
      </c>
      <c r="V145" s="43" t="str">
        <f>IF(AND('Mapa final'!$AB$118="Media",'Mapa final'!$AD$118="Catastrófico"),CONCATENATE("R40C",'Mapa final'!$R$118),"")</f>
        <v/>
      </c>
      <c r="W145" s="44" t="str">
        <f>IF(AND('Mapa final'!$AB$119="Media",'Mapa final'!$AD$119="Catastrófico"),CONCATENATE("R40C",'Mapa final'!$R$119),"")</f>
        <v/>
      </c>
      <c r="X145" s="100" t="str">
        <f>IF(AND('Mapa final'!$AB$120="Media",'Mapa final'!$AD$120="Catastrófico"),CONCATENATE("R40C",'Mapa final'!$R$120),"")</f>
        <v/>
      </c>
      <c r="Y145" s="56"/>
      <c r="Z145" s="318"/>
      <c r="AA145" s="319"/>
      <c r="AB145" s="319"/>
      <c r="AC145" s="319"/>
      <c r="AD145" s="319"/>
      <c r="AE145" s="320"/>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row>
    <row r="146" spans="1:61" ht="15" customHeight="1" x14ac:dyDescent="0.35">
      <c r="A146" s="56"/>
      <c r="B146" s="307"/>
      <c r="C146" s="307"/>
      <c r="D146" s="308"/>
      <c r="E146" s="284"/>
      <c r="F146" s="297"/>
      <c r="G146" s="297"/>
      <c r="H146" s="297"/>
      <c r="I146" s="279"/>
      <c r="J146" s="49" t="str">
        <f>IF(AND('Mapa final'!$AB$121="Media",'Mapa final'!$AD$121="Leve"),CONCATENATE("R41C",'Mapa final'!$R$121),"")</f>
        <v/>
      </c>
      <c r="K146" s="50" t="str">
        <f>IF(AND('Mapa final'!$AB$122="Media",'Mapa final'!$AD$122="Leve"),CONCATENATE("R41C",'Mapa final'!$R$122),"")</f>
        <v/>
      </c>
      <c r="L146" s="111" t="str">
        <f>IF(AND('Mapa final'!$AB$123="Media",'Mapa final'!$AD$123="Leve"),CONCATENATE("R41C",'Mapa final'!$R$123),"")</f>
        <v/>
      </c>
      <c r="M146" s="49" t="str">
        <f>IF(AND('Mapa final'!$AB$121="Media",'Mapa final'!$AD$121="Menor"),CONCATENATE("R41C",'Mapa final'!$R$121),"")</f>
        <v/>
      </c>
      <c r="N146" s="50" t="str">
        <f>IF(AND('Mapa final'!$AB$122="Media",'Mapa final'!$AD$122="Menor"),CONCATENATE("R41C",'Mapa final'!$R$122),"")</f>
        <v/>
      </c>
      <c r="O146" s="111" t="str">
        <f>IF(AND('Mapa final'!$AB$123="Media",'Mapa final'!$AD$123="Menor"),CONCATENATE("R41C",'Mapa final'!$R$123),"")</f>
        <v/>
      </c>
      <c r="P146" s="49" t="str">
        <f>IF(AND('Mapa final'!$AB$121="Media",'Mapa final'!$AD$121="Moderado"),CONCATENATE("R41C",'Mapa final'!$R$121),"")</f>
        <v>R41C1</v>
      </c>
      <c r="Q146" s="50" t="str">
        <f>IF(AND('Mapa final'!$AB$122="Media",'Mapa final'!$AD$122="Moderado"),CONCATENATE("R41C",'Mapa final'!$R$122),"")</f>
        <v/>
      </c>
      <c r="R146" s="111" t="str">
        <f>IF(AND('Mapa final'!$AB$123="Media",'Mapa final'!$AD$123="Moderado"),CONCATENATE("R41C",'Mapa final'!$R$123),"")</f>
        <v/>
      </c>
      <c r="S146" s="105" t="str">
        <f>IF(AND('Mapa final'!$AB$121="Media",'Mapa final'!$AD$121="Mayor"),CONCATENATE("R41C",'Mapa final'!$R$121),"")</f>
        <v/>
      </c>
      <c r="T146" s="42" t="str">
        <f>IF(AND('Mapa final'!$AB$122="Media",'Mapa final'!$AD$122="Mayor"),CONCATENATE("R41C",'Mapa final'!$R$122),"")</f>
        <v/>
      </c>
      <c r="U146" s="106" t="str">
        <f>IF(AND('Mapa final'!$AB$123="Media",'Mapa final'!$AD$123="Mayor"),CONCATENATE("R41C",'Mapa final'!$R$123),"")</f>
        <v/>
      </c>
      <c r="V146" s="43" t="str">
        <f>IF(AND('Mapa final'!$AB$121="Media",'Mapa final'!$AD$121="Catastrófico"),CONCATENATE("R41C",'Mapa final'!$R$121),"")</f>
        <v/>
      </c>
      <c r="W146" s="44" t="str">
        <f>IF(AND('Mapa final'!$AB$122="Media",'Mapa final'!$AD$122="Catastrófico"),CONCATENATE("R41C",'Mapa final'!$R$122),"")</f>
        <v/>
      </c>
      <c r="X146" s="100" t="str">
        <f>IF(AND('Mapa final'!$AB$123="Media",'Mapa final'!$AD$123="Catastrófico"),CONCATENATE("R41C",'Mapa final'!$R$123),"")</f>
        <v/>
      </c>
      <c r="Y146" s="56"/>
      <c r="Z146" s="318"/>
      <c r="AA146" s="319"/>
      <c r="AB146" s="319"/>
      <c r="AC146" s="319"/>
      <c r="AD146" s="319"/>
      <c r="AE146" s="320"/>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row>
    <row r="147" spans="1:61" ht="15" customHeight="1" x14ac:dyDescent="0.35">
      <c r="A147" s="56"/>
      <c r="B147" s="307"/>
      <c r="C147" s="307"/>
      <c r="D147" s="308"/>
      <c r="E147" s="284"/>
      <c r="F147" s="297"/>
      <c r="G147" s="297"/>
      <c r="H147" s="297"/>
      <c r="I147" s="279"/>
      <c r="J147" s="49" t="str">
        <f>IF(AND('Mapa final'!$AB$124="Media",'Mapa final'!$AD$124="Leve"),CONCATENATE("R42C",'Mapa final'!$R$124),"")</f>
        <v/>
      </c>
      <c r="K147" s="50" t="str">
        <f>IF(AND('Mapa final'!$AB$125="Media",'Mapa final'!$AD$125="Leve"),CONCATENATE("R42C",'Mapa final'!$R$125),"")</f>
        <v/>
      </c>
      <c r="L147" s="111" t="str">
        <f>IF(AND('Mapa final'!$AB$126="Media",'Mapa final'!$AD$126="Leve"),CONCATENATE("R42C",'Mapa final'!$R$126),"")</f>
        <v/>
      </c>
      <c r="M147" s="49" t="str">
        <f>IF(AND('Mapa final'!$AB$124="Media",'Mapa final'!$AD$124="Menor"),CONCATENATE("R42C",'Mapa final'!$R$124),"")</f>
        <v/>
      </c>
      <c r="N147" s="50" t="str">
        <f>IF(AND('Mapa final'!$AB$125="Media",'Mapa final'!$AD$125="Menor"),CONCATENATE("R42C",'Mapa final'!$R$125),"")</f>
        <v/>
      </c>
      <c r="O147" s="111" t="str">
        <f>IF(AND('Mapa final'!$AB$126="Media",'Mapa final'!$AD$126="Menor"),CONCATENATE("R42C",'Mapa final'!$R$126),"")</f>
        <v/>
      </c>
      <c r="P147" s="49" t="str">
        <f>IF(AND('Mapa final'!$AB$124="Media",'Mapa final'!$AD$124="Moderado"),CONCATENATE("R42C",'Mapa final'!$R$124),"")</f>
        <v/>
      </c>
      <c r="Q147" s="50" t="str">
        <f>IF(AND('Mapa final'!$AB$125="Media",'Mapa final'!$AD$125="Moderado"),CONCATENATE("R42C",'Mapa final'!$R$125),"")</f>
        <v/>
      </c>
      <c r="R147" s="111" t="str">
        <f>IF(AND('Mapa final'!$AB$126="Media",'Mapa final'!$AD$126="Moderado"),CONCATENATE("R42C",'Mapa final'!$R$126),"")</f>
        <v/>
      </c>
      <c r="S147" s="105" t="str">
        <f>IF(AND('Mapa final'!$AB$124="Media",'Mapa final'!$AD$124="Mayor"),CONCATENATE("R42C",'Mapa final'!$R$124),"")</f>
        <v/>
      </c>
      <c r="T147" s="42" t="str">
        <f>IF(AND('Mapa final'!$AB$125="Media",'Mapa final'!$AD$125="Mayor"),CONCATENATE("R42C",'Mapa final'!$R$125),"")</f>
        <v/>
      </c>
      <c r="U147" s="106" t="str">
        <f>IF(AND('Mapa final'!$AB$126="Media",'Mapa final'!$AD$126="Mayor"),CONCATENATE("R42C",'Mapa final'!$R$126),"")</f>
        <v/>
      </c>
      <c r="V147" s="43" t="str">
        <f>IF(AND('Mapa final'!$AB$124="Media",'Mapa final'!$AD$124="Catastrófico"),CONCATENATE("R42C",'Mapa final'!$R$124),"")</f>
        <v/>
      </c>
      <c r="W147" s="44" t="str">
        <f>IF(AND('Mapa final'!$AB$125="Media",'Mapa final'!$AD$125="Catastrófico"),CONCATENATE("R42C",'Mapa final'!$R$125),"")</f>
        <v/>
      </c>
      <c r="X147" s="100" t="str">
        <f>IF(AND('Mapa final'!$AB$126="Media",'Mapa final'!$AD$126="Catastrófico"),CONCATENATE("R42C",'Mapa final'!$R$126),"")</f>
        <v/>
      </c>
      <c r="Y147" s="56"/>
      <c r="Z147" s="318"/>
      <c r="AA147" s="319"/>
      <c r="AB147" s="319"/>
      <c r="AC147" s="319"/>
      <c r="AD147" s="319"/>
      <c r="AE147" s="320"/>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row>
    <row r="148" spans="1:61" ht="15" customHeight="1" x14ac:dyDescent="0.35">
      <c r="A148" s="56"/>
      <c r="B148" s="307"/>
      <c r="C148" s="307"/>
      <c r="D148" s="308"/>
      <c r="E148" s="284"/>
      <c r="F148" s="297"/>
      <c r="G148" s="297"/>
      <c r="H148" s="297"/>
      <c r="I148" s="279"/>
      <c r="J148" s="49" t="str">
        <f>IF(AND('Mapa final'!$AB$127="Media",'Mapa final'!$AD$127="Leve"),CONCATENATE("R43C",'Mapa final'!$R$127),"")</f>
        <v/>
      </c>
      <c r="K148" s="50" t="str">
        <f>IF(AND('Mapa final'!$AB$128="Media",'Mapa final'!$AD$128="Leve"),CONCATENATE("R43C",'Mapa final'!$R$128),"")</f>
        <v/>
      </c>
      <c r="L148" s="111" t="str">
        <f>IF(AND('Mapa final'!$AB$129="Media",'Mapa final'!$AD$129="Leve"),CONCATENATE("R43C",'Mapa final'!$R$129),"")</f>
        <v/>
      </c>
      <c r="M148" s="49" t="str">
        <f>IF(AND('Mapa final'!$AB$127="Media",'Mapa final'!$AD$127="Menor"),CONCATENATE("R43C",'Mapa final'!$R$127),"")</f>
        <v/>
      </c>
      <c r="N148" s="50" t="str">
        <f>IF(AND('Mapa final'!$AB$128="Media",'Mapa final'!$AD$128="Menor"),CONCATENATE("R43C",'Mapa final'!$R$128),"")</f>
        <v/>
      </c>
      <c r="O148" s="111" t="str">
        <f>IF(AND('Mapa final'!$AB$129="Media",'Mapa final'!$AD$129="Menor"),CONCATENATE("R43C",'Mapa final'!$R$129),"")</f>
        <v/>
      </c>
      <c r="P148" s="49" t="str">
        <f>IF(AND('Mapa final'!$AB$127="Media",'Mapa final'!$AD$127="Moderado"),CONCATENATE("R43C",'Mapa final'!$R$127),"")</f>
        <v/>
      </c>
      <c r="Q148" s="50" t="str">
        <f>IF(AND('Mapa final'!$AB$128="Media",'Mapa final'!$AD$128="Moderado"),CONCATENATE("R43C",'Mapa final'!$R$128),"")</f>
        <v/>
      </c>
      <c r="R148" s="111" t="str">
        <f>IF(AND('Mapa final'!$AB$129="Media",'Mapa final'!$AD$129="Moderado"),CONCATENATE("R43C",'Mapa final'!$R$129),"")</f>
        <v/>
      </c>
      <c r="S148" s="105" t="str">
        <f>IF(AND('Mapa final'!$AB$127="Media",'Mapa final'!$AD$127="Mayor"),CONCATENATE("R43C",'Mapa final'!$R$127),"")</f>
        <v>R43C1</v>
      </c>
      <c r="T148" s="42" t="str">
        <f>IF(AND('Mapa final'!$AB$128="Media",'Mapa final'!$AD$128="Mayor"),CONCATENATE("R43C",'Mapa final'!$R$128),"")</f>
        <v/>
      </c>
      <c r="U148" s="106" t="str">
        <f>IF(AND('Mapa final'!$AB$129="Media",'Mapa final'!$AD$129="Mayor"),CONCATENATE("R43C",'Mapa final'!$R$129),"")</f>
        <v/>
      </c>
      <c r="V148" s="43" t="str">
        <f>IF(AND('Mapa final'!$AB$127="Media",'Mapa final'!$AD$127="Catastrófico"),CONCATENATE("R43C",'Mapa final'!$R$127),"")</f>
        <v/>
      </c>
      <c r="W148" s="44" t="str">
        <f>IF(AND('Mapa final'!$AB$128="Media",'Mapa final'!$AD$128="Catastrófico"),CONCATENATE("R43C",'Mapa final'!$R$128),"")</f>
        <v/>
      </c>
      <c r="X148" s="100" t="str">
        <f>IF(AND('Mapa final'!$AB$129="Media",'Mapa final'!$AD$129="Catastrófico"),CONCATENATE("R43C",'Mapa final'!$R$129),"")</f>
        <v/>
      </c>
      <c r="Y148" s="56"/>
      <c r="Z148" s="318"/>
      <c r="AA148" s="319"/>
      <c r="AB148" s="319"/>
      <c r="AC148" s="319"/>
      <c r="AD148" s="319"/>
      <c r="AE148" s="320"/>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row>
    <row r="149" spans="1:61" ht="15" customHeight="1" x14ac:dyDescent="0.35">
      <c r="A149" s="56"/>
      <c r="B149" s="307"/>
      <c r="C149" s="307"/>
      <c r="D149" s="308"/>
      <c r="E149" s="284"/>
      <c r="F149" s="297"/>
      <c r="G149" s="297"/>
      <c r="H149" s="297"/>
      <c r="I149" s="279"/>
      <c r="J149" s="49" t="str">
        <f>IF(AND('Mapa final'!$AB$130="Media",'Mapa final'!$AD$130="Leve"),CONCATENATE("R44C",'Mapa final'!$R$130),"")</f>
        <v/>
      </c>
      <c r="K149" s="50" t="str">
        <f>IF(AND('Mapa final'!$AB$131="Media",'Mapa final'!$AD$131="Leve"),CONCATENATE("R44C",'Mapa final'!$R$131),"")</f>
        <v/>
      </c>
      <c r="L149" s="111" t="str">
        <f>IF(AND('Mapa final'!$AB$132="Media",'Mapa final'!$AD$132="Leve"),CONCATENATE("R44C",'Mapa final'!$R$132),"")</f>
        <v/>
      </c>
      <c r="M149" s="49" t="str">
        <f>IF(AND('Mapa final'!$AB$130="Media",'Mapa final'!$AD$130="Menor"),CONCATENATE("R44C",'Mapa final'!$R$130),"")</f>
        <v/>
      </c>
      <c r="N149" s="50" t="str">
        <f>IF(AND('Mapa final'!$AB$131="Media",'Mapa final'!$AD$131="Menor"),CONCATENATE("R44C",'Mapa final'!$R$131),"")</f>
        <v/>
      </c>
      <c r="O149" s="111" t="str">
        <f>IF(AND('Mapa final'!$AB$132="Media",'Mapa final'!$AD$132="Menor"),CONCATENATE("R44C",'Mapa final'!$R$132),"")</f>
        <v/>
      </c>
      <c r="P149" s="49" t="str">
        <f>IF(AND('Mapa final'!$AB$130="Media",'Mapa final'!$AD$130="Moderado"),CONCATENATE("R44C",'Mapa final'!$R$130),"")</f>
        <v>R44C1</v>
      </c>
      <c r="Q149" s="50" t="str">
        <f>IF(AND('Mapa final'!$AB$131="Media",'Mapa final'!$AD$131="Moderado"),CONCATENATE("R44C",'Mapa final'!$R$131),"")</f>
        <v/>
      </c>
      <c r="R149" s="111" t="str">
        <f>IF(AND('Mapa final'!$AB$132="Media",'Mapa final'!$AD$132="Moderado"),CONCATENATE("R44C",'Mapa final'!$R$132),"")</f>
        <v/>
      </c>
      <c r="S149" s="105" t="str">
        <f>IF(AND('Mapa final'!$AB$130="Media",'Mapa final'!$AD$130="Mayor"),CONCATENATE("R44C",'Mapa final'!$R$130),"")</f>
        <v/>
      </c>
      <c r="T149" s="42" t="str">
        <f>IF(AND('Mapa final'!$AB$131="Media",'Mapa final'!$AD$131="Mayor"),CONCATENATE("R44C",'Mapa final'!$R$131),"")</f>
        <v/>
      </c>
      <c r="U149" s="106" t="str">
        <f>IF(AND('Mapa final'!$AB$132="Media",'Mapa final'!$AD$132="Mayor"),CONCATENATE("R44C",'Mapa final'!$R$132),"")</f>
        <v/>
      </c>
      <c r="V149" s="43" t="str">
        <f>IF(AND('Mapa final'!$AB$130="Media",'Mapa final'!$AD$130="Catastrófico"),CONCATENATE("R44C",'Mapa final'!$R$130),"")</f>
        <v/>
      </c>
      <c r="W149" s="44" t="str">
        <f>IF(AND('Mapa final'!$AB$131="Media",'Mapa final'!$AD$131="Catastrófico"),CONCATENATE("R44C",'Mapa final'!$R$131),"")</f>
        <v/>
      </c>
      <c r="X149" s="100" t="str">
        <f>IF(AND('Mapa final'!$AB$132="Media",'Mapa final'!$AD$132="Catastrófico"),CONCATENATE("R44C",'Mapa final'!$R$132),"")</f>
        <v/>
      </c>
      <c r="Y149" s="56"/>
      <c r="Z149" s="318"/>
      <c r="AA149" s="319"/>
      <c r="AB149" s="319"/>
      <c r="AC149" s="319"/>
      <c r="AD149" s="319"/>
      <c r="AE149" s="320"/>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1:61" ht="15" customHeight="1" x14ac:dyDescent="0.35">
      <c r="A150" s="56"/>
      <c r="B150" s="307"/>
      <c r="C150" s="307"/>
      <c r="D150" s="308"/>
      <c r="E150" s="284"/>
      <c r="F150" s="297"/>
      <c r="G150" s="297"/>
      <c r="H150" s="297"/>
      <c r="I150" s="279"/>
      <c r="J150" s="49" t="str">
        <f>IF(AND('Mapa final'!$AB$133="Media",'Mapa final'!$AD$133="Leve"),CONCATENATE("R45C",'Mapa final'!$R$133),"")</f>
        <v/>
      </c>
      <c r="K150" s="50" t="str">
        <f>IF(AND('Mapa final'!$AB$134="Media",'Mapa final'!$AD$134="Leve"),CONCATENATE("R45C",'Mapa final'!$R$134),"")</f>
        <v/>
      </c>
      <c r="L150" s="111" t="str">
        <f>IF(AND('Mapa final'!$AB$135="Media",'Mapa final'!$AD$135="Leve"),CONCATENATE("R45C",'Mapa final'!$R$135),"")</f>
        <v/>
      </c>
      <c r="M150" s="49" t="str">
        <f>IF(AND('Mapa final'!$AB$133="Media",'Mapa final'!$AD$133="Menor"),CONCATENATE("R45C",'Mapa final'!$R$133),"")</f>
        <v/>
      </c>
      <c r="N150" s="50" t="str">
        <f>IF(AND('Mapa final'!$AB$134="Media",'Mapa final'!$AD$134="Menor"),CONCATENATE("R45C",'Mapa final'!$R$134),"")</f>
        <v/>
      </c>
      <c r="O150" s="111" t="str">
        <f>IF(AND('Mapa final'!$AB$135="Media",'Mapa final'!$AD$135="Menor"),CONCATENATE("R45C",'Mapa final'!$R$135),"")</f>
        <v/>
      </c>
      <c r="P150" s="49" t="str">
        <f>IF(AND('Mapa final'!$AB$133="Media",'Mapa final'!$AD$133="Moderado"),CONCATENATE("R45C",'Mapa final'!$R$133),"")</f>
        <v/>
      </c>
      <c r="Q150" s="50" t="str">
        <f>IF(AND('Mapa final'!$AB$134="Media",'Mapa final'!$AD$134="Moderado"),CONCATENATE("R45C",'Mapa final'!$R$134),"")</f>
        <v/>
      </c>
      <c r="R150" s="111" t="str">
        <f>IF(AND('Mapa final'!$AB$135="Media",'Mapa final'!$AD$135="Moderado"),CONCATENATE("R45C",'Mapa final'!$R$135),"")</f>
        <v/>
      </c>
      <c r="S150" s="105" t="str">
        <f>IF(AND('Mapa final'!$AB$133="Media",'Mapa final'!$AD$133="Mayor"),CONCATENATE("R45C",'Mapa final'!$R$133),"")</f>
        <v>R45C1</v>
      </c>
      <c r="T150" s="42" t="str">
        <f>IF(AND('Mapa final'!$AB$134="Media",'Mapa final'!$AD$134="Mayor"),CONCATENATE("R45C",'Mapa final'!$R$134),"")</f>
        <v/>
      </c>
      <c r="U150" s="106" t="str">
        <f>IF(AND('Mapa final'!$AB$135="Media",'Mapa final'!$AD$135="Mayor"),CONCATENATE("R45C",'Mapa final'!$R$135),"")</f>
        <v/>
      </c>
      <c r="V150" s="43" t="str">
        <f>IF(AND('Mapa final'!$AB$133="Media",'Mapa final'!$AD$133="Catastrófico"),CONCATENATE("R45C",'Mapa final'!$R$133),"")</f>
        <v/>
      </c>
      <c r="W150" s="44" t="str">
        <f>IF(AND('Mapa final'!$AB$134="Media",'Mapa final'!$AD$134="Catastrófico"),CONCATENATE("R45C",'Mapa final'!$R$134),"")</f>
        <v/>
      </c>
      <c r="X150" s="100" t="str">
        <f>IF(AND('Mapa final'!$AB$135="Media",'Mapa final'!$AD$135="Catastrófico"),CONCATENATE("R45C",'Mapa final'!$R$135),"")</f>
        <v/>
      </c>
      <c r="Y150" s="56"/>
      <c r="Z150" s="318"/>
      <c r="AA150" s="319"/>
      <c r="AB150" s="319"/>
      <c r="AC150" s="319"/>
      <c r="AD150" s="319"/>
      <c r="AE150" s="320"/>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row>
    <row r="151" spans="1:61" ht="15" customHeight="1" x14ac:dyDescent="0.35">
      <c r="A151" s="56"/>
      <c r="B151" s="307"/>
      <c r="C151" s="307"/>
      <c r="D151" s="308"/>
      <c r="E151" s="284"/>
      <c r="F151" s="297"/>
      <c r="G151" s="297"/>
      <c r="H151" s="297"/>
      <c r="I151" s="279"/>
      <c r="J151" s="49" t="str">
        <f>IF(AND('Mapa final'!$AB$136="Media",'Mapa final'!$AD$136="Leve"),CONCATENATE("R46C",'Mapa final'!$R$136),"")</f>
        <v/>
      </c>
      <c r="K151" s="50" t="str">
        <f>IF(AND('Mapa final'!$AB$137="Media",'Mapa final'!$AD$137="Leve"),CONCATENATE("R46C",'Mapa final'!$R$137),"")</f>
        <v/>
      </c>
      <c r="L151" s="111" t="str">
        <f>IF(AND('Mapa final'!$AB$138="Media",'Mapa final'!$AD$138="Leve"),CONCATENATE("R46C",'Mapa final'!$R$138),"")</f>
        <v/>
      </c>
      <c r="M151" s="49" t="str">
        <f>IF(AND('Mapa final'!$AB$136="Media",'Mapa final'!$AD$136="Menor"),CONCATENATE("R46C",'Mapa final'!$R$136),"")</f>
        <v/>
      </c>
      <c r="N151" s="50" t="str">
        <f>IF(AND('Mapa final'!$AB$137="Media",'Mapa final'!$AD$137="Menor"),CONCATENATE("R46C",'Mapa final'!$R$137),"")</f>
        <v/>
      </c>
      <c r="O151" s="111" t="str">
        <f>IF(AND('Mapa final'!$AB$138="Media",'Mapa final'!$AD$138="Menor"),CONCATENATE("R46C",'Mapa final'!$R$138),"")</f>
        <v/>
      </c>
      <c r="P151" s="49" t="str">
        <f>IF(AND('Mapa final'!$AB$136="Media",'Mapa final'!$AD$136="Moderado"),CONCATENATE("R46C",'Mapa final'!$R$136),"")</f>
        <v/>
      </c>
      <c r="Q151" s="50" t="str">
        <f>IF(AND('Mapa final'!$AB$137="Media",'Mapa final'!$AD$137="Moderado"),CONCATENATE("R46C",'Mapa final'!$R$137),"")</f>
        <v/>
      </c>
      <c r="R151" s="111" t="str">
        <f>IF(AND('Mapa final'!$AB$138="Media",'Mapa final'!$AD$138="Moderado"),CONCATENATE("R46C",'Mapa final'!$R$138),"")</f>
        <v/>
      </c>
      <c r="S151" s="105" t="str">
        <f>IF(AND('Mapa final'!$AB$136="Media",'Mapa final'!$AD$136="Mayor"),CONCATENATE("R46C",'Mapa final'!$R$136),"")</f>
        <v/>
      </c>
      <c r="T151" s="42" t="str">
        <f>IF(AND('Mapa final'!$AB$137="Media",'Mapa final'!$AD$137="Mayor"),CONCATENATE("R46C",'Mapa final'!$R$137),"")</f>
        <v/>
      </c>
      <c r="U151" s="106" t="str">
        <f>IF(AND('Mapa final'!$AB$138="Media",'Mapa final'!$AD$138="Mayor"),CONCATENATE("R46C",'Mapa final'!$R$138),"")</f>
        <v/>
      </c>
      <c r="V151" s="43" t="str">
        <f>IF(AND('Mapa final'!$AB$136="Media",'Mapa final'!$AD$136="Catastrófico"),CONCATENATE("R46C",'Mapa final'!$R$136),"")</f>
        <v/>
      </c>
      <c r="W151" s="44" t="str">
        <f>IF(AND('Mapa final'!$AB$137="Media",'Mapa final'!$AD$137="Catastrófico"),CONCATENATE("R46C",'Mapa final'!$R$137),"")</f>
        <v/>
      </c>
      <c r="X151" s="100" t="str">
        <f>IF(AND('Mapa final'!$AB$138="Media",'Mapa final'!$AD$138="Catastrófico"),CONCATENATE("R46C",'Mapa final'!$R$138),"")</f>
        <v/>
      </c>
      <c r="Y151" s="56"/>
      <c r="Z151" s="318"/>
      <c r="AA151" s="319"/>
      <c r="AB151" s="319"/>
      <c r="AC151" s="319"/>
      <c r="AD151" s="319"/>
      <c r="AE151" s="320"/>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row>
    <row r="152" spans="1:61" ht="15" customHeight="1" x14ac:dyDescent="0.35">
      <c r="A152" s="56"/>
      <c r="B152" s="307"/>
      <c r="C152" s="307"/>
      <c r="D152" s="308"/>
      <c r="E152" s="284"/>
      <c r="F152" s="297"/>
      <c r="G152" s="297"/>
      <c r="H152" s="297"/>
      <c r="I152" s="279"/>
      <c r="J152" s="49" t="str">
        <f>IF(AND('Mapa final'!$AB$139="Media",'Mapa final'!$AD$139="Leve"),CONCATENATE("R47C",'Mapa final'!$R$139),"")</f>
        <v/>
      </c>
      <c r="K152" s="50" t="str">
        <f>IF(AND('Mapa final'!$AB$140="Media",'Mapa final'!$AD$140="Leve"),CONCATENATE("R47C",'Mapa final'!$R$140),"")</f>
        <v/>
      </c>
      <c r="L152" s="111" t="str">
        <f>IF(AND('Mapa final'!$AB$141="Media",'Mapa final'!$AD$141="Leve"),CONCATENATE("R47C",'Mapa final'!$R$141),"")</f>
        <v/>
      </c>
      <c r="M152" s="49" t="str">
        <f>IF(AND('Mapa final'!$AB$139="Media",'Mapa final'!$AD$139="Menor"),CONCATENATE("R47C",'Mapa final'!$R$139),"")</f>
        <v/>
      </c>
      <c r="N152" s="50" t="str">
        <f>IF(AND('Mapa final'!$AB$140="Media",'Mapa final'!$AD$140="Menor"),CONCATENATE("R47C",'Mapa final'!$R$140),"")</f>
        <v/>
      </c>
      <c r="O152" s="111" t="str">
        <f>IF(AND('Mapa final'!$AB$141="Media",'Mapa final'!$AD$141="Menor"),CONCATENATE("R47C",'Mapa final'!$R$141),"")</f>
        <v/>
      </c>
      <c r="P152" s="49" t="str">
        <f>IF(AND('Mapa final'!$AB$139="Media",'Mapa final'!$AD$139="Moderado"),CONCATENATE("R47C",'Mapa final'!$R$139),"")</f>
        <v/>
      </c>
      <c r="Q152" s="50" t="str">
        <f>IF(AND('Mapa final'!$AB$140="Media",'Mapa final'!$AD$140="Moderado"),CONCATENATE("R47C",'Mapa final'!$R$140),"")</f>
        <v/>
      </c>
      <c r="R152" s="111" t="str">
        <f>IF(AND('Mapa final'!$AB$141="Media",'Mapa final'!$AD$141="Moderado"),CONCATENATE("R47C",'Mapa final'!$R$141),"")</f>
        <v/>
      </c>
      <c r="S152" s="105" t="str">
        <f>IF(AND('Mapa final'!$AB$139="Media",'Mapa final'!$AD$139="Mayor"),CONCATENATE("R47C",'Mapa final'!$R$139),"")</f>
        <v/>
      </c>
      <c r="T152" s="42" t="str">
        <f>IF(AND('Mapa final'!$AB$140="Media",'Mapa final'!$AD$140="Mayor"),CONCATENATE("R47C",'Mapa final'!$R$140),"")</f>
        <v/>
      </c>
      <c r="U152" s="106" t="str">
        <f>IF(AND('Mapa final'!$AB$141="Media",'Mapa final'!$AD$141="Mayor"),CONCATENATE("R47C",'Mapa final'!$R$141),"")</f>
        <v/>
      </c>
      <c r="V152" s="43" t="str">
        <f>IF(AND('Mapa final'!$AB$139="Media",'Mapa final'!$AD$139="Catastrófico"),CONCATENATE("R47C",'Mapa final'!$R$139),"")</f>
        <v/>
      </c>
      <c r="W152" s="44" t="str">
        <f>IF(AND('Mapa final'!$AB$140="Media",'Mapa final'!$AD$140="Catastrófico"),CONCATENATE("R47C",'Mapa final'!$R$140),"")</f>
        <v/>
      </c>
      <c r="X152" s="100" t="str">
        <f>IF(AND('Mapa final'!$AB$141="Media",'Mapa final'!$AD$141="Catastrófico"),CONCATENATE("R47C",'Mapa final'!$R$141),"")</f>
        <v/>
      </c>
      <c r="Y152" s="56"/>
      <c r="Z152" s="318"/>
      <c r="AA152" s="319"/>
      <c r="AB152" s="319"/>
      <c r="AC152" s="319"/>
      <c r="AD152" s="319"/>
      <c r="AE152" s="320"/>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row>
    <row r="153" spans="1:61" ht="15" customHeight="1" x14ac:dyDescent="0.35">
      <c r="A153" s="56"/>
      <c r="B153" s="307"/>
      <c r="C153" s="307"/>
      <c r="D153" s="308"/>
      <c r="E153" s="284"/>
      <c r="F153" s="297"/>
      <c r="G153" s="297"/>
      <c r="H153" s="297"/>
      <c r="I153" s="279"/>
      <c r="J153" s="49" t="str">
        <f>IF(AND('Mapa final'!$AB$142="Media",'Mapa final'!$AD$142="Leve"),CONCATENATE("R48C",'Mapa final'!$R$142),"")</f>
        <v/>
      </c>
      <c r="K153" s="50" t="str">
        <f>IF(AND('Mapa final'!$AB$143="Media",'Mapa final'!$AD$143="Leve"),CONCATENATE("R48C",'Mapa final'!$R$143),"")</f>
        <v/>
      </c>
      <c r="L153" s="111" t="str">
        <f>IF(AND('Mapa final'!$AB$144="Media",'Mapa final'!$AD$144="Leve"),CONCATENATE("R48C",'Mapa final'!$R$144),"")</f>
        <v/>
      </c>
      <c r="M153" s="49" t="str">
        <f>IF(AND('Mapa final'!$AB$142="Media",'Mapa final'!$AD$142="Menor"),CONCATENATE("R48C",'Mapa final'!$R$142),"")</f>
        <v/>
      </c>
      <c r="N153" s="50" t="str">
        <f>IF(AND('Mapa final'!$AB$143="Media",'Mapa final'!$AD$143="Menor"),CONCATENATE("R48C",'Mapa final'!$R$143),"")</f>
        <v/>
      </c>
      <c r="O153" s="111" t="str">
        <f>IF(AND('Mapa final'!$AB$144="Media",'Mapa final'!$AD$144="Menor"),CONCATENATE("R48C",'Mapa final'!$R$144),"")</f>
        <v/>
      </c>
      <c r="P153" s="49" t="str">
        <f>IF(AND('Mapa final'!$AB$142="Media",'Mapa final'!$AD$142="Moderado"),CONCATENATE("R48C",'Mapa final'!$R$142),"")</f>
        <v/>
      </c>
      <c r="Q153" s="50" t="str">
        <f>IF(AND('Mapa final'!$AB$143="Media",'Mapa final'!$AD$143="Moderado"),CONCATENATE("R48C",'Mapa final'!$R$143),"")</f>
        <v/>
      </c>
      <c r="R153" s="111" t="str">
        <f>IF(AND('Mapa final'!$AB$144="Media",'Mapa final'!$AD$144="Moderado"),CONCATENATE("R48C",'Mapa final'!$R$144),"")</f>
        <v/>
      </c>
      <c r="S153" s="105" t="str">
        <f>IF(AND('Mapa final'!$AB$142="Media",'Mapa final'!$AD$142="Mayor"),CONCATENATE("R48C",'Mapa final'!$R$142),"")</f>
        <v/>
      </c>
      <c r="T153" s="42" t="str">
        <f>IF(AND('Mapa final'!$AB$143="Media",'Mapa final'!$AD$143="Mayor"),CONCATENATE("R48C",'Mapa final'!$R$143),"")</f>
        <v/>
      </c>
      <c r="U153" s="106" t="str">
        <f>IF(AND('Mapa final'!$AB$144="Media",'Mapa final'!$AD$144="Mayor"),CONCATENATE("R48C",'Mapa final'!$R$144),"")</f>
        <v/>
      </c>
      <c r="V153" s="43" t="str">
        <f>IF(AND('Mapa final'!$AB$142="Media",'Mapa final'!$AD$142="Catastrófico"),CONCATENATE("R48C",'Mapa final'!$R$142),"")</f>
        <v/>
      </c>
      <c r="W153" s="44" t="str">
        <f>IF(AND('Mapa final'!$AB$143="Media",'Mapa final'!$AD$143="Catastrófico"),CONCATENATE("R48C",'Mapa final'!$R$143),"")</f>
        <v/>
      </c>
      <c r="X153" s="100" t="str">
        <f>IF(AND('Mapa final'!$AB$144="Media",'Mapa final'!$AD$144="Catastrófico"),CONCATENATE("R48C",'Mapa final'!$R$144),"")</f>
        <v/>
      </c>
      <c r="Y153" s="56"/>
      <c r="Z153" s="318"/>
      <c r="AA153" s="319"/>
      <c r="AB153" s="319"/>
      <c r="AC153" s="319"/>
      <c r="AD153" s="319"/>
      <c r="AE153" s="320"/>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row>
    <row r="154" spans="1:61" ht="15" customHeight="1" x14ac:dyDescent="0.35">
      <c r="A154" s="56"/>
      <c r="B154" s="307"/>
      <c r="C154" s="307"/>
      <c r="D154" s="308"/>
      <c r="E154" s="284"/>
      <c r="F154" s="297"/>
      <c r="G154" s="297"/>
      <c r="H154" s="297"/>
      <c r="I154" s="279"/>
      <c r="J154" s="49" t="str">
        <f>IF(AND('Mapa final'!$AB$145="Media",'Mapa final'!$AD$145="Leve"),CONCATENATE("R49C",'Mapa final'!$R$145),"")</f>
        <v/>
      </c>
      <c r="K154" s="50" t="str">
        <f>IF(AND('Mapa final'!$AB$146="Media",'Mapa final'!$AD$146="Leve"),CONCATENATE("R49C",'Mapa final'!$R$146),"")</f>
        <v/>
      </c>
      <c r="L154" s="111" t="str">
        <f>IF(AND('Mapa final'!$AB$147="Media",'Mapa final'!$AD$147="Leve"),CONCATENATE("R49C",'Mapa final'!$R$147),"")</f>
        <v/>
      </c>
      <c r="M154" s="49" t="str">
        <f>IF(AND('Mapa final'!$AB$145="Media",'Mapa final'!$AD$145="Menor"),CONCATENATE("R49C",'Mapa final'!$R$145),"")</f>
        <v/>
      </c>
      <c r="N154" s="50" t="str">
        <f>IF(AND('Mapa final'!$AB$146="Media",'Mapa final'!$AD$146="Menor"),CONCATENATE("R49C",'Mapa final'!$R$146),"")</f>
        <v/>
      </c>
      <c r="O154" s="111" t="str">
        <f>IF(AND('Mapa final'!$AB$147="Media",'Mapa final'!$AD$147="Menor"),CONCATENATE("R49C",'Mapa final'!$R$147),"")</f>
        <v/>
      </c>
      <c r="P154" s="49" t="str">
        <f>IF(AND('Mapa final'!$AB$145="Media",'Mapa final'!$AD$145="Moderado"),CONCATENATE("R49C",'Mapa final'!$R$145),"")</f>
        <v/>
      </c>
      <c r="Q154" s="50" t="str">
        <f>IF(AND('Mapa final'!$AB$146="Media",'Mapa final'!$AD$146="Moderado"),CONCATENATE("R49C",'Mapa final'!$R$146),"")</f>
        <v/>
      </c>
      <c r="R154" s="111" t="str">
        <f>IF(AND('Mapa final'!$AB$147="Media",'Mapa final'!$AD$147="Moderado"),CONCATENATE("R49C",'Mapa final'!$R$147),"")</f>
        <v/>
      </c>
      <c r="S154" s="105" t="str">
        <f>IF(AND('Mapa final'!$AB$145="Media",'Mapa final'!$AD$145="Mayor"),CONCATENATE("R49C",'Mapa final'!$R$145),"")</f>
        <v/>
      </c>
      <c r="T154" s="42" t="str">
        <f>IF(AND('Mapa final'!$AB$146="Media",'Mapa final'!$AD$146="Mayor"),CONCATENATE("R49C",'Mapa final'!$R$146),"")</f>
        <v/>
      </c>
      <c r="U154" s="106" t="str">
        <f>IF(AND('Mapa final'!$AB$147="Media",'Mapa final'!$AD$147="Mayor"),CONCATENATE("R49C",'Mapa final'!$R$147),"")</f>
        <v/>
      </c>
      <c r="V154" s="43" t="str">
        <f>IF(AND('Mapa final'!$AB$145="Media",'Mapa final'!$AD$145="Catastrófico"),CONCATENATE("R49C",'Mapa final'!$R$145),"")</f>
        <v/>
      </c>
      <c r="W154" s="44" t="str">
        <f>IF(AND('Mapa final'!$AB$146="Media",'Mapa final'!$AD$146="Catastrófico"),CONCATENATE("R49C",'Mapa final'!$R$146),"")</f>
        <v/>
      </c>
      <c r="X154" s="100" t="str">
        <f>IF(AND('Mapa final'!$AB$147="Media",'Mapa final'!$AD$147="Catastrófico"),CONCATENATE("R49C",'Mapa final'!$R$147),"")</f>
        <v/>
      </c>
      <c r="Y154" s="56"/>
      <c r="Z154" s="318"/>
      <c r="AA154" s="319"/>
      <c r="AB154" s="319"/>
      <c r="AC154" s="319"/>
      <c r="AD154" s="319"/>
      <c r="AE154" s="320"/>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row>
    <row r="155" spans="1:61" ht="15" customHeight="1" thickBot="1" x14ac:dyDescent="0.4">
      <c r="A155" s="56"/>
      <c r="B155" s="307"/>
      <c r="C155" s="307"/>
      <c r="D155" s="308"/>
      <c r="E155" s="284"/>
      <c r="F155" s="297"/>
      <c r="G155" s="297"/>
      <c r="H155" s="297"/>
      <c r="I155" s="279"/>
      <c r="J155" s="51" t="str">
        <f>IF(AND('Mapa final'!$AB$148="Media",'Mapa final'!$AD$148="Leve"),CONCATENATE("R50C",'Mapa final'!$R$148),"")</f>
        <v/>
      </c>
      <c r="K155" s="52" t="str">
        <f>IF(AND('Mapa final'!$AB$149="Media",'Mapa final'!$AD$149="Leve"),CONCATENATE("R50C",'Mapa final'!$R$149),"")</f>
        <v/>
      </c>
      <c r="L155" s="112" t="str">
        <f>IF(AND('Mapa final'!$AB$150="Media",'Mapa final'!$AD$150="Leve"),CONCATENATE("R50C",'Mapa final'!$R$150),"")</f>
        <v/>
      </c>
      <c r="M155" s="51" t="str">
        <f>IF(AND('Mapa final'!$AB$148="Media",'Mapa final'!$AD$148="Menor"),CONCATENATE("R50C",'Mapa final'!$R$148),"")</f>
        <v/>
      </c>
      <c r="N155" s="52" t="str">
        <f>IF(AND('Mapa final'!$AB$149="Media",'Mapa final'!$AD$149="Menor"),CONCATENATE("R50C",'Mapa final'!$R$149),"")</f>
        <v/>
      </c>
      <c r="O155" s="112" t="str">
        <f>IF(AND('Mapa final'!$AB$150="Media",'Mapa final'!$AD$150="Menor"),CONCATENATE("R50C",'Mapa final'!$R$150),"")</f>
        <v/>
      </c>
      <c r="P155" s="51" t="str">
        <f>IF(AND('Mapa final'!$AB$148="Media",'Mapa final'!$AD$148="Moderado"),CONCATENATE("R50C",'Mapa final'!$R$148),"")</f>
        <v/>
      </c>
      <c r="Q155" s="52" t="str">
        <f>IF(AND('Mapa final'!$AB$149="Media",'Mapa final'!$AD$149="Moderado"),CONCATENATE("R50C",'Mapa final'!$R$149),"")</f>
        <v/>
      </c>
      <c r="R155" s="112" t="str">
        <f>IF(AND('Mapa final'!$AB$150="Media",'Mapa final'!$AD$150="Moderado"),CONCATENATE("R50C",'Mapa final'!$R$150),"")</f>
        <v/>
      </c>
      <c r="S155" s="107" t="str">
        <f>IF(AND('Mapa final'!$AB$148="Media",'Mapa final'!$AD$148="Mayor"),CONCATENATE("R50C",'Mapa final'!$R$148),"")</f>
        <v/>
      </c>
      <c r="T155" s="108" t="str">
        <f>IF(AND('Mapa final'!$AB$149="Media",'Mapa final'!$AD$149="Mayor"),CONCATENATE("R50C",'Mapa final'!$R$149),"")</f>
        <v/>
      </c>
      <c r="U155" s="109" t="str">
        <f>IF(AND('Mapa final'!$AB$150="Media",'Mapa final'!$AD$150="Mayor"),CONCATENATE("R50C",'Mapa final'!$R$150),"")</f>
        <v/>
      </c>
      <c r="V155" s="45" t="str">
        <f>IF(AND('Mapa final'!$AB$148="Media",'Mapa final'!$AD$148="Catastrófico"),CONCATENATE("R50C",'Mapa final'!$R$148),"")</f>
        <v/>
      </c>
      <c r="W155" s="46" t="str">
        <f>IF(AND('Mapa final'!$AB$149="Media",'Mapa final'!$AD$149="Catastrófico"),CONCATENATE("R50C",'Mapa final'!$R$149),"")</f>
        <v/>
      </c>
      <c r="X155" s="101" t="str">
        <f>IF(AND('Mapa final'!$AB$150="Media",'Mapa final'!$AD$150="Catastrófico"),CONCATENATE("R50C",'Mapa final'!$R$150),"")</f>
        <v/>
      </c>
      <c r="Y155" s="56"/>
      <c r="Z155" s="318"/>
      <c r="AA155" s="319"/>
      <c r="AB155" s="319"/>
      <c r="AC155" s="319"/>
      <c r="AD155" s="319"/>
      <c r="AE155" s="320"/>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row>
    <row r="156" spans="1:61" ht="15" customHeight="1" x14ac:dyDescent="0.35">
      <c r="A156" s="56"/>
      <c r="B156" s="307"/>
      <c r="C156" s="307"/>
      <c r="D156" s="308"/>
      <c r="E156" s="295" t="s">
        <v>105</v>
      </c>
      <c r="F156" s="296"/>
      <c r="G156" s="296"/>
      <c r="H156" s="296"/>
      <c r="I156" s="296"/>
      <c r="J156" s="113" t="str">
        <f>IF(AND('Mapa final'!$AB$7="Baja",'Mapa final'!$AD$7="Leve"),CONCATENATE("R1C",'Mapa final'!$R$7),"")</f>
        <v/>
      </c>
      <c r="K156" s="53" t="str">
        <f>IF(AND('Mapa final'!$AB$8="Baja",'Mapa final'!$AD$8="Leve"),CONCATENATE("R1C",'Mapa final'!$R$8),"")</f>
        <v/>
      </c>
      <c r="L156" s="114" t="str">
        <f>IF(AND('Mapa final'!$AB$9="Baja",'Mapa final'!$AD$9="Leve"),CONCATENATE("R1C",'Mapa final'!$R$9),"")</f>
        <v/>
      </c>
      <c r="M156" s="47" t="str">
        <f>IF(AND('Mapa final'!$AB$7="Baja",'Mapa final'!$AD$7="Menor"),CONCATENATE("R1C",'Mapa final'!$R$7),"")</f>
        <v/>
      </c>
      <c r="N156" s="48" t="str">
        <f>IF(AND('Mapa final'!$AB$8="Baja",'Mapa final'!$AD$8="Menor"),CONCATENATE("R1C",'Mapa final'!$R$8),"")</f>
        <v/>
      </c>
      <c r="O156" s="110" t="str">
        <f>IF(AND('Mapa final'!$AB$9="Baja",'Mapa final'!$AD$9="Menor"),CONCATENATE("R1C",'Mapa final'!$R$9),"")</f>
        <v/>
      </c>
      <c r="P156" s="47" t="str">
        <f>IF(AND('Mapa final'!$AB$7="Baja",'Mapa final'!$AD$7="Moderado"),CONCATENATE("R1C",'Mapa final'!$R$7),"")</f>
        <v>R1C1</v>
      </c>
      <c r="Q156" s="48" t="str">
        <f>IF(AND('Mapa final'!$AB$8="Baja",'Mapa final'!$AD$8="Moderado"),CONCATENATE("R1C",'Mapa final'!$R$8),"")</f>
        <v/>
      </c>
      <c r="R156" s="110" t="str">
        <f>IF(AND('Mapa final'!$AB$9="Baja",'Mapa final'!$AD$9="Moderado"),CONCATENATE("R1C",'Mapa final'!$R$9),"")</f>
        <v/>
      </c>
      <c r="S156" s="102" t="str">
        <f>IF(AND('Mapa final'!$AB$7="Baja",'Mapa final'!$AD$7="Mayor"),CONCATENATE("R1C",'Mapa final'!$R$7),"")</f>
        <v/>
      </c>
      <c r="T156" s="103" t="str">
        <f>IF(AND('Mapa final'!$AB$8="Baja",'Mapa final'!$AD$8="Mayor"),CONCATENATE("R1C",'Mapa final'!$R$8),"")</f>
        <v/>
      </c>
      <c r="U156" s="104" t="str">
        <f>IF(AND('Mapa final'!$AB$9="Baja",'Mapa final'!$AD$9="Mayor"),CONCATENATE("R1C",'Mapa final'!$R$9),"")</f>
        <v/>
      </c>
      <c r="V156" s="40" t="str">
        <f>IF(AND('Mapa final'!$AB$7="Baja",'Mapa final'!$AD$7="Catastrófico"),CONCATENATE("R1C",'Mapa final'!$R$7),"")</f>
        <v/>
      </c>
      <c r="W156" s="41" t="str">
        <f>IF(AND('Mapa final'!$AB$8="Baja",'Mapa final'!$AD$8="Catastrófico"),CONCATENATE("R1C",'Mapa final'!$R$8),"")</f>
        <v/>
      </c>
      <c r="X156" s="99" t="str">
        <f>IF(AND('Mapa final'!$AB$9="Baja",'Mapa final'!$AD$9="Catastrófico"),CONCATENATE("R1C",'Mapa final'!$R$9),"")</f>
        <v/>
      </c>
      <c r="Y156" s="56"/>
      <c r="Z156" s="309" t="s">
        <v>76</v>
      </c>
      <c r="AA156" s="310"/>
      <c r="AB156" s="310"/>
      <c r="AC156" s="310"/>
      <c r="AD156" s="310"/>
      <c r="AE156" s="311"/>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row>
    <row r="157" spans="1:61" ht="15" customHeight="1" x14ac:dyDescent="0.35">
      <c r="A157" s="56"/>
      <c r="B157" s="307"/>
      <c r="C157" s="307"/>
      <c r="D157" s="308"/>
      <c r="E157" s="283"/>
      <c r="F157" s="279"/>
      <c r="G157" s="279"/>
      <c r="H157" s="279"/>
      <c r="I157" s="279"/>
      <c r="J157" s="115" t="str">
        <f>IF(AND('Mapa final'!$AB$10="Baja",'Mapa final'!$AD$10="Leve"),CONCATENATE("R2C",'Mapa final'!$R$10),"")</f>
        <v/>
      </c>
      <c r="K157" s="54" t="str">
        <f>IF(AND('Mapa final'!$AB$11="Baja",'Mapa final'!$AD$11="Leve"),CONCATENATE("R2C",'Mapa final'!$R$11),"")</f>
        <v/>
      </c>
      <c r="L157" s="116" t="str">
        <f>IF(AND('Mapa final'!$AB$12="Baja",'Mapa final'!$AD$12="Leve"),CONCATENATE("R2C",'Mapa final'!$R$12),"")</f>
        <v/>
      </c>
      <c r="M157" s="49" t="str">
        <f>IF(AND('Mapa final'!$AB$10="Baja",'Mapa final'!$AD$10="Menor"),CONCATENATE("R2C",'Mapa final'!$R$10),"")</f>
        <v/>
      </c>
      <c r="N157" s="50" t="str">
        <f>IF(AND('Mapa final'!$AB$11="Baja",'Mapa final'!$AD$11="Menor"),CONCATENATE("R2C",'Mapa final'!$R$11),"")</f>
        <v/>
      </c>
      <c r="O157" s="111" t="str">
        <f>IF(AND('Mapa final'!$AB$12="Baja",'Mapa final'!$AD$12="Menor"),CONCATENATE("R2C",'Mapa final'!$R$12),"")</f>
        <v/>
      </c>
      <c r="P157" s="49" t="str">
        <f>IF(AND('Mapa final'!$AB$10="Baja",'Mapa final'!$AD$10="Moderado"),CONCATENATE("R2C",'Mapa final'!$R$10),"")</f>
        <v>R2C1</v>
      </c>
      <c r="Q157" s="50" t="str">
        <f>IF(AND('Mapa final'!$AB$11="Baja",'Mapa final'!$AD$11="Moderado"),CONCATENATE("R2C",'Mapa final'!$R$11),"")</f>
        <v/>
      </c>
      <c r="R157" s="111" t="str">
        <f>IF(AND('Mapa final'!$AB$12="Baja",'Mapa final'!$AD$12="Moderado"),CONCATENATE("R2C",'Mapa final'!$R$12),"")</f>
        <v/>
      </c>
      <c r="S157" s="105" t="str">
        <f>IF(AND('Mapa final'!$AB$10="Baja",'Mapa final'!$AD$10="Mayor"),CONCATENATE("R2C",'Mapa final'!$R$10),"")</f>
        <v/>
      </c>
      <c r="T157" s="42" t="str">
        <f>IF(AND('Mapa final'!$AB$11="Baja",'Mapa final'!$AD$11="Mayor"),CONCATENATE("R2C",'Mapa final'!$R$11),"")</f>
        <v/>
      </c>
      <c r="U157" s="106" t="str">
        <f>IF(AND('Mapa final'!$AB$12="Baja",'Mapa final'!$AD$12="Mayor"),CONCATENATE("R2C",'Mapa final'!$R$12),"")</f>
        <v/>
      </c>
      <c r="V157" s="43" t="str">
        <f>IF(AND('Mapa final'!$AB$10="Baja",'Mapa final'!$AD$10="Catastrófico"),CONCATENATE("R2C",'Mapa final'!$R$10),"")</f>
        <v/>
      </c>
      <c r="W157" s="44" t="str">
        <f>IF(AND('Mapa final'!$AB$11="Baja",'Mapa final'!$AD$11="Catastrófico"),CONCATENATE("R2C",'Mapa final'!$R$11),"")</f>
        <v/>
      </c>
      <c r="X157" s="100" t="str">
        <f>IF(AND('Mapa final'!$AB$12="Baja",'Mapa final'!$AD$12="Catastrófico"),CONCATENATE("R2C",'Mapa final'!$R$12),"")</f>
        <v/>
      </c>
      <c r="Y157" s="56"/>
      <c r="Z157" s="312"/>
      <c r="AA157" s="313"/>
      <c r="AB157" s="313"/>
      <c r="AC157" s="313"/>
      <c r="AD157" s="313"/>
      <c r="AE157" s="314"/>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row>
    <row r="158" spans="1:61" ht="15" customHeight="1" x14ac:dyDescent="0.35">
      <c r="A158" s="56"/>
      <c r="B158" s="307"/>
      <c r="C158" s="307"/>
      <c r="D158" s="308"/>
      <c r="E158" s="283"/>
      <c r="F158" s="279"/>
      <c r="G158" s="279"/>
      <c r="H158" s="279"/>
      <c r="I158" s="279"/>
      <c r="J158" s="115" t="str">
        <f>IF(AND('Mapa final'!$AB$13="Baja",'Mapa final'!$AD$13="Leve"),CONCATENATE("R3C",'Mapa final'!$R$13),"")</f>
        <v/>
      </c>
      <c r="K158" s="54" t="str">
        <f>IF(AND('Mapa final'!$AB$14="Baja",'Mapa final'!$AD$14="Leve"),CONCATENATE("R3C",'Mapa final'!$R$14),"")</f>
        <v/>
      </c>
      <c r="L158" s="116" t="str">
        <f>IF(AND('Mapa final'!$AB$15="Baja",'Mapa final'!$AD$15="Leve"),CONCATENATE("R3C",'Mapa final'!$R$15),"")</f>
        <v/>
      </c>
      <c r="M158" s="49" t="str">
        <f>IF(AND('Mapa final'!$AB$13="Baja",'Mapa final'!$AD$13="Menor"),CONCATENATE("R3C",'Mapa final'!$R$13),"")</f>
        <v/>
      </c>
      <c r="N158" s="50" t="str">
        <f>IF(AND('Mapa final'!$AB$14="Baja",'Mapa final'!$AD$14="Menor"),CONCATENATE("R3C",'Mapa final'!$R$14),"")</f>
        <v/>
      </c>
      <c r="O158" s="111" t="str">
        <f>IF(AND('Mapa final'!$AB$15="Baja",'Mapa final'!$AD$15="Menor"),CONCATENATE("R3C",'Mapa final'!$R$15),"")</f>
        <v/>
      </c>
      <c r="P158" s="49" t="str">
        <f>IF(AND('Mapa final'!$AB$13="Baja",'Mapa final'!$AD$13="Moderado"),CONCATENATE("R3C",'Mapa final'!$R$13),"")</f>
        <v/>
      </c>
      <c r="Q158" s="50" t="str">
        <f>IF(AND('Mapa final'!$AB$14="Baja",'Mapa final'!$AD$14="Moderado"),CONCATENATE("R3C",'Mapa final'!$R$14),"")</f>
        <v/>
      </c>
      <c r="R158" s="111" t="str">
        <f>IF(AND('Mapa final'!$AB$15="Baja",'Mapa final'!$AD$15="Moderado"),CONCATENATE("R3C",'Mapa final'!$R$15),"")</f>
        <v/>
      </c>
      <c r="S158" s="105" t="str">
        <f>IF(AND('Mapa final'!$AB$13="Baja",'Mapa final'!$AD$13="Mayor"),CONCATENATE("R3C",'Mapa final'!$R$13),"")</f>
        <v/>
      </c>
      <c r="T158" s="42" t="str">
        <f>IF(AND('Mapa final'!$AB$14="Baja",'Mapa final'!$AD$14="Mayor"),CONCATENATE("R3C",'Mapa final'!$R$14),"")</f>
        <v/>
      </c>
      <c r="U158" s="106" t="str">
        <f>IF(AND('Mapa final'!$AB$15="Baja",'Mapa final'!$AD$15="Mayor"),CONCATENATE("R3C",'Mapa final'!$R$15),"")</f>
        <v/>
      </c>
      <c r="V158" s="43" t="str">
        <f>IF(AND('Mapa final'!$AB$13="Baja",'Mapa final'!$AD$13="Catastrófico"),CONCATENATE("R3C",'Mapa final'!$R$13),"")</f>
        <v/>
      </c>
      <c r="W158" s="44" t="str">
        <f>IF(AND('Mapa final'!$AB$14="Baja",'Mapa final'!$AD$14="Catastrófico"),CONCATENATE("R3C",'Mapa final'!$R$14),"")</f>
        <v/>
      </c>
      <c r="X158" s="100" t="str">
        <f>IF(AND('Mapa final'!$AB$15="Baja",'Mapa final'!$AD$15="Catastrófico"),CONCATENATE("R3C",'Mapa final'!$R$15),"")</f>
        <v/>
      </c>
      <c r="Y158" s="56"/>
      <c r="Z158" s="312"/>
      <c r="AA158" s="313"/>
      <c r="AB158" s="313"/>
      <c r="AC158" s="313"/>
      <c r="AD158" s="313"/>
      <c r="AE158" s="314"/>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row>
    <row r="159" spans="1:61" ht="15" customHeight="1" x14ac:dyDescent="0.35">
      <c r="A159" s="56"/>
      <c r="B159" s="307"/>
      <c r="C159" s="307"/>
      <c r="D159" s="308"/>
      <c r="E159" s="283"/>
      <c r="F159" s="279"/>
      <c r="G159" s="279"/>
      <c r="H159" s="279"/>
      <c r="I159" s="279"/>
      <c r="J159" s="115" t="e">
        <f>IF(AND('Mapa final'!#REF!="Baja",'Mapa final'!#REF!="Leve"),CONCATENATE("R4C",'Mapa final'!#REF!),"")</f>
        <v>#REF!</v>
      </c>
      <c r="K159" s="54" t="e">
        <f>IF(AND('Mapa final'!#REF!="Baja",'Mapa final'!#REF!="Leve"),CONCATENATE("R4C",'Mapa final'!#REF!),"")</f>
        <v>#REF!</v>
      </c>
      <c r="L159" s="116" t="e">
        <f>IF(AND('Mapa final'!#REF!="Baja",'Mapa final'!#REF!="Leve"),CONCATENATE("R4C",'Mapa final'!#REF!),"")</f>
        <v>#REF!</v>
      </c>
      <c r="M159" s="49" t="e">
        <f>IF(AND('Mapa final'!#REF!="Baja",'Mapa final'!#REF!="Menor"),CONCATENATE("R4C",'Mapa final'!#REF!),"")</f>
        <v>#REF!</v>
      </c>
      <c r="N159" s="50" t="e">
        <f>IF(AND('Mapa final'!#REF!="Baja",'Mapa final'!#REF!="Menor"),CONCATENATE("R4C",'Mapa final'!#REF!),"")</f>
        <v>#REF!</v>
      </c>
      <c r="O159" s="111" t="e">
        <f>IF(AND('Mapa final'!#REF!="Baja",'Mapa final'!#REF!="Menor"),CONCATENATE("R4C",'Mapa final'!#REF!),"")</f>
        <v>#REF!</v>
      </c>
      <c r="P159" s="49" t="e">
        <f>IF(AND('Mapa final'!#REF!="Baja",'Mapa final'!#REF!="Moderado"),CONCATENATE("R4C",'Mapa final'!#REF!),"")</f>
        <v>#REF!</v>
      </c>
      <c r="Q159" s="50" t="e">
        <f>IF(AND('Mapa final'!#REF!="Baja",'Mapa final'!#REF!="Moderado"),CONCATENATE("R4C",'Mapa final'!#REF!),"")</f>
        <v>#REF!</v>
      </c>
      <c r="R159" s="111" t="e">
        <f>IF(AND('Mapa final'!#REF!="Baja",'Mapa final'!#REF!="Moderado"),CONCATENATE("R4C",'Mapa final'!#REF!),"")</f>
        <v>#REF!</v>
      </c>
      <c r="S159" s="105" t="e">
        <f>IF(AND('Mapa final'!#REF!="Baja",'Mapa final'!#REF!="Mayor"),CONCATENATE("R4C",'Mapa final'!#REF!),"")</f>
        <v>#REF!</v>
      </c>
      <c r="T159" s="42" t="e">
        <f>IF(AND('Mapa final'!#REF!="Baja",'Mapa final'!#REF!="Mayor"),CONCATENATE("R4C",'Mapa final'!#REF!),"")</f>
        <v>#REF!</v>
      </c>
      <c r="U159" s="106" t="e">
        <f>IF(AND('Mapa final'!#REF!="Baja",'Mapa final'!#REF!="Mayor"),CONCATENATE("R4C",'Mapa final'!#REF!),"")</f>
        <v>#REF!</v>
      </c>
      <c r="V159" s="43" t="e">
        <f>IF(AND('Mapa final'!#REF!="Baja",'Mapa final'!#REF!="Catastrófico"),CONCATENATE("R4C",'Mapa final'!#REF!),"")</f>
        <v>#REF!</v>
      </c>
      <c r="W159" s="44" t="e">
        <f>IF(AND('Mapa final'!#REF!="Baja",'Mapa final'!#REF!="Catastrófico"),CONCATENATE("R4C",'Mapa final'!#REF!),"")</f>
        <v>#REF!</v>
      </c>
      <c r="X159" s="100" t="e">
        <f>IF(AND('Mapa final'!#REF!="Baja",'Mapa final'!#REF!="Catastrófico"),CONCATENATE("R4C",'Mapa final'!#REF!),"")</f>
        <v>#REF!</v>
      </c>
      <c r="Y159" s="56"/>
      <c r="Z159" s="312"/>
      <c r="AA159" s="313"/>
      <c r="AB159" s="313"/>
      <c r="AC159" s="313"/>
      <c r="AD159" s="313"/>
      <c r="AE159" s="314"/>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row>
    <row r="160" spans="1:61" ht="15" customHeight="1" x14ac:dyDescent="0.35">
      <c r="A160" s="56"/>
      <c r="B160" s="307"/>
      <c r="C160" s="307"/>
      <c r="D160" s="308"/>
      <c r="E160" s="283"/>
      <c r="F160" s="279"/>
      <c r="G160" s="279"/>
      <c r="H160" s="279"/>
      <c r="I160" s="279"/>
      <c r="J160" s="115" t="e">
        <f>IF(AND('Mapa final'!#REF!="Baja",'Mapa final'!#REF!="Leve"),CONCATENATE("R5C",'Mapa final'!#REF!),"")</f>
        <v>#REF!</v>
      </c>
      <c r="K160" s="54" t="e">
        <f>IF(AND('Mapa final'!#REF!="Baja",'Mapa final'!#REF!="Leve"),CONCATENATE("R5C",'Mapa final'!#REF!),"")</f>
        <v>#REF!</v>
      </c>
      <c r="L160" s="116" t="e">
        <f>IF(AND('Mapa final'!#REF!="Baja",'Mapa final'!#REF!="Leve"),CONCATENATE("R5C",'Mapa final'!#REF!),"")</f>
        <v>#REF!</v>
      </c>
      <c r="M160" s="49" t="e">
        <f>IF(AND('Mapa final'!#REF!="Baja",'Mapa final'!#REF!="Menor"),CONCATENATE("R5C",'Mapa final'!#REF!),"")</f>
        <v>#REF!</v>
      </c>
      <c r="N160" s="50" t="e">
        <f>IF(AND('Mapa final'!#REF!="Baja",'Mapa final'!#REF!="Menor"),CONCATENATE("R5C",'Mapa final'!#REF!),"")</f>
        <v>#REF!</v>
      </c>
      <c r="O160" s="111" t="e">
        <f>IF(AND('Mapa final'!#REF!="Baja",'Mapa final'!#REF!="Menor"),CONCATENATE("R5C",'Mapa final'!#REF!),"")</f>
        <v>#REF!</v>
      </c>
      <c r="P160" s="49" t="e">
        <f>IF(AND('Mapa final'!#REF!="Baja",'Mapa final'!#REF!="Moderado"),CONCATENATE("R5C",'Mapa final'!#REF!),"")</f>
        <v>#REF!</v>
      </c>
      <c r="Q160" s="50" t="e">
        <f>IF(AND('Mapa final'!#REF!="Baja",'Mapa final'!#REF!="Moderado"),CONCATENATE("R5C",'Mapa final'!#REF!),"")</f>
        <v>#REF!</v>
      </c>
      <c r="R160" s="111" t="e">
        <f>IF(AND('Mapa final'!#REF!="Baja",'Mapa final'!#REF!="Moderado"),CONCATENATE("R5C",'Mapa final'!#REF!),"")</f>
        <v>#REF!</v>
      </c>
      <c r="S160" s="105" t="e">
        <f>IF(AND('Mapa final'!#REF!="Baja",'Mapa final'!#REF!="Mayor"),CONCATENATE("R5C",'Mapa final'!#REF!),"")</f>
        <v>#REF!</v>
      </c>
      <c r="T160" s="42" t="e">
        <f>IF(AND('Mapa final'!#REF!="Baja",'Mapa final'!#REF!="Mayor"),CONCATENATE("R5C",'Mapa final'!#REF!),"")</f>
        <v>#REF!</v>
      </c>
      <c r="U160" s="106" t="e">
        <f>IF(AND('Mapa final'!#REF!="Baja",'Mapa final'!#REF!="Mayor"),CONCATENATE("R5C",'Mapa final'!#REF!),"")</f>
        <v>#REF!</v>
      </c>
      <c r="V160" s="43" t="e">
        <f>IF(AND('Mapa final'!#REF!="Baja",'Mapa final'!#REF!="Catastrófico"),CONCATENATE("R5C",'Mapa final'!#REF!),"")</f>
        <v>#REF!</v>
      </c>
      <c r="W160" s="44" t="e">
        <f>IF(AND('Mapa final'!#REF!="Baja",'Mapa final'!#REF!="Catastrófico"),CONCATENATE("R5C",'Mapa final'!#REF!),"")</f>
        <v>#REF!</v>
      </c>
      <c r="X160" s="100" t="e">
        <f>IF(AND('Mapa final'!#REF!="Baja",'Mapa final'!#REF!="Catastrófico"),CONCATENATE("R5C",'Mapa final'!#REF!),"")</f>
        <v>#REF!</v>
      </c>
      <c r="Y160" s="56"/>
      <c r="Z160" s="312"/>
      <c r="AA160" s="313"/>
      <c r="AB160" s="313"/>
      <c r="AC160" s="313"/>
      <c r="AD160" s="313"/>
      <c r="AE160" s="314"/>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row>
    <row r="161" spans="1:61" ht="15" customHeight="1" x14ac:dyDescent="0.35">
      <c r="A161" s="56"/>
      <c r="B161" s="307"/>
      <c r="C161" s="307"/>
      <c r="D161" s="308"/>
      <c r="E161" s="283"/>
      <c r="F161" s="279"/>
      <c r="G161" s="279"/>
      <c r="H161" s="279"/>
      <c r="I161" s="279"/>
      <c r="J161" s="115" t="str">
        <f>IF(AND('Mapa final'!$AB$16="Baja",'Mapa final'!$AD$16="Leve"),CONCATENATE("R6C",'Mapa final'!$R$16),"")</f>
        <v/>
      </c>
      <c r="K161" s="54" t="str">
        <f>IF(AND('Mapa final'!$AB$17="Baja",'Mapa final'!$AD$17="Leve"),CONCATENATE("R6C",'Mapa final'!$R$17),"")</f>
        <v/>
      </c>
      <c r="L161" s="116" t="str">
        <f>IF(AND('Mapa final'!$AB$18="Baja",'Mapa final'!$AD$18="Leve"),CONCATENATE("R6C",'Mapa final'!$R$18),"")</f>
        <v/>
      </c>
      <c r="M161" s="49" t="str">
        <f>IF(AND('Mapa final'!$AB$16="Baja",'Mapa final'!$AD$16="Menor"),CONCATENATE("R6C",'Mapa final'!$R$16),"")</f>
        <v/>
      </c>
      <c r="N161" s="50" t="str">
        <f>IF(AND('Mapa final'!$AB$17="Baja",'Mapa final'!$AD$17="Menor"),CONCATENATE("R6C",'Mapa final'!$R$17),"")</f>
        <v/>
      </c>
      <c r="O161" s="111" t="str">
        <f>IF(AND('Mapa final'!$AB$18="Baja",'Mapa final'!$AD$18="Menor"),CONCATENATE("R6C",'Mapa final'!$R$18),"")</f>
        <v/>
      </c>
      <c r="P161" s="49" t="str">
        <f>IF(AND('Mapa final'!$AB$16="Baja",'Mapa final'!$AD$16="Moderado"),CONCATENATE("R6C",'Mapa final'!$R$16),"")</f>
        <v/>
      </c>
      <c r="Q161" s="50" t="str">
        <f>IF(AND('Mapa final'!$AB$17="Baja",'Mapa final'!$AD$17="Moderado"),CONCATENATE("R6C",'Mapa final'!$R$17),"")</f>
        <v/>
      </c>
      <c r="R161" s="111" t="str">
        <f>IF(AND('Mapa final'!$AB$18="Baja",'Mapa final'!$AD$18="Moderado"),CONCATENATE("R6C",'Mapa final'!$R$18),"")</f>
        <v/>
      </c>
      <c r="S161" s="105" t="str">
        <f>IF(AND('Mapa final'!$AB$16="Baja",'Mapa final'!$AD$16="Mayor"),CONCATENATE("R6C",'Mapa final'!$R$16),"")</f>
        <v/>
      </c>
      <c r="T161" s="42" t="str">
        <f>IF(AND('Mapa final'!$AB$17="Baja",'Mapa final'!$AD$17="Mayor"),CONCATENATE("R6C",'Mapa final'!$R$17),"")</f>
        <v/>
      </c>
      <c r="U161" s="106" t="str">
        <f>IF(AND('Mapa final'!$AB$18="Baja",'Mapa final'!$AD$18="Mayor"),CONCATENATE("R6C",'Mapa final'!$R$18),"")</f>
        <v/>
      </c>
      <c r="V161" s="43" t="str">
        <f>IF(AND('Mapa final'!$AB$16="Baja",'Mapa final'!$AD$16="Catastrófico"),CONCATENATE("R6C",'Mapa final'!$R$16),"")</f>
        <v/>
      </c>
      <c r="W161" s="44" t="str">
        <f>IF(AND('Mapa final'!$AB$17="Baja",'Mapa final'!$AD$17="Catastrófico"),CONCATENATE("R6C",'Mapa final'!$R$17),"")</f>
        <v/>
      </c>
      <c r="X161" s="100" t="str">
        <f>IF(AND('Mapa final'!$AB$18="Baja",'Mapa final'!$AD$18="Catastrófico"),CONCATENATE("R6C",'Mapa final'!$R$18),"")</f>
        <v/>
      </c>
      <c r="Y161" s="56"/>
      <c r="Z161" s="312"/>
      <c r="AA161" s="313"/>
      <c r="AB161" s="313"/>
      <c r="AC161" s="313"/>
      <c r="AD161" s="313"/>
      <c r="AE161" s="314"/>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row>
    <row r="162" spans="1:61" ht="15" customHeight="1" x14ac:dyDescent="0.35">
      <c r="A162" s="56"/>
      <c r="B162" s="307"/>
      <c r="C162" s="307"/>
      <c r="D162" s="308"/>
      <c r="E162" s="283"/>
      <c r="F162" s="279"/>
      <c r="G162" s="279"/>
      <c r="H162" s="279"/>
      <c r="I162" s="279"/>
      <c r="J162" s="115" t="str">
        <f>IF(AND('Mapa final'!$AB$19="Baja",'Mapa final'!$AD$19="Leve"),CONCATENATE("R7C",'Mapa final'!$R$19),"")</f>
        <v/>
      </c>
      <c r="K162" s="54" t="str">
        <f>IF(AND('Mapa final'!$AB$20="Baja",'Mapa final'!$AD$20="Leve"),CONCATENATE("R7C",'Mapa final'!$R$20),"")</f>
        <v/>
      </c>
      <c r="L162" s="116" t="str">
        <f>IF(AND('Mapa final'!$AB$21="Baja",'Mapa final'!$AD$21="Leve"),CONCATENATE("R7C",'Mapa final'!$R$21),"")</f>
        <v/>
      </c>
      <c r="M162" s="49" t="str">
        <f>IF(AND('Mapa final'!$AB$19="Baja",'Mapa final'!$AD$19="Menor"),CONCATENATE("R7C",'Mapa final'!$R$19),"")</f>
        <v/>
      </c>
      <c r="N162" s="50" t="str">
        <f>IF(AND('Mapa final'!$AB$20="Baja",'Mapa final'!$AD$20="Menor"),CONCATENATE("R7C",'Mapa final'!$R$20),"")</f>
        <v/>
      </c>
      <c r="O162" s="111" t="str">
        <f>IF(AND('Mapa final'!$AB$21="Baja",'Mapa final'!$AD$21="Menor"),CONCATENATE("R7C",'Mapa final'!$R$21),"")</f>
        <v/>
      </c>
      <c r="P162" s="49" t="str">
        <f>IF(AND('Mapa final'!$AB$19="Baja",'Mapa final'!$AD$19="Moderado"),CONCATENATE("R7C",'Mapa final'!$R$19),"")</f>
        <v/>
      </c>
      <c r="Q162" s="50" t="str">
        <f>IF(AND('Mapa final'!$AB$20="Baja",'Mapa final'!$AD$20="Moderado"),CONCATENATE("R7C",'Mapa final'!$R$20),"")</f>
        <v/>
      </c>
      <c r="R162" s="111" t="str">
        <f>IF(AND('Mapa final'!$AB$21="Baja",'Mapa final'!$AD$21="Moderado"),CONCATENATE("R7C",'Mapa final'!$R$21),"")</f>
        <v/>
      </c>
      <c r="S162" s="105" t="str">
        <f>IF(AND('Mapa final'!$AB$19="Baja",'Mapa final'!$AD$19="Mayor"),CONCATENATE("R7C",'Mapa final'!$R$19),"")</f>
        <v/>
      </c>
      <c r="T162" s="42" t="str">
        <f>IF(AND('Mapa final'!$AB$20="Baja",'Mapa final'!$AD$20="Mayor"),CONCATENATE("R7C",'Mapa final'!$R$20),"")</f>
        <v/>
      </c>
      <c r="U162" s="106" t="str">
        <f>IF(AND('Mapa final'!$AB$21="Baja",'Mapa final'!$AD$21="Mayor"),CONCATENATE("R7C",'Mapa final'!$R$21),"")</f>
        <v/>
      </c>
      <c r="V162" s="43" t="str">
        <f>IF(AND('Mapa final'!$AB$19="Baja",'Mapa final'!$AD$19="Catastrófico"),CONCATENATE("R7C",'Mapa final'!$R$19),"")</f>
        <v/>
      </c>
      <c r="W162" s="44" t="str">
        <f>IF(AND('Mapa final'!$AB$20="Baja",'Mapa final'!$AD$20="Catastrófico"),CONCATENATE("R7C",'Mapa final'!$R$20),"")</f>
        <v/>
      </c>
      <c r="X162" s="100" t="str">
        <f>IF(AND('Mapa final'!$AB$21="Baja",'Mapa final'!$AD$21="Catastrófico"),CONCATENATE("R7C",'Mapa final'!$R$21),"")</f>
        <v/>
      </c>
      <c r="Y162" s="56"/>
      <c r="Z162" s="312"/>
      <c r="AA162" s="313"/>
      <c r="AB162" s="313"/>
      <c r="AC162" s="313"/>
      <c r="AD162" s="313"/>
      <c r="AE162" s="314"/>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row>
    <row r="163" spans="1:61" ht="15" customHeight="1" x14ac:dyDescent="0.35">
      <c r="A163" s="56"/>
      <c r="B163" s="307"/>
      <c r="C163" s="307"/>
      <c r="D163" s="308"/>
      <c r="E163" s="283"/>
      <c r="F163" s="279"/>
      <c r="G163" s="279"/>
      <c r="H163" s="279"/>
      <c r="I163" s="279"/>
      <c r="J163" s="115" t="str">
        <f>IF(AND('Mapa final'!$AB$22="Baja",'Mapa final'!$AD$22="Leve"),CONCATENATE("R8C",'Mapa final'!$R$22),"")</f>
        <v/>
      </c>
      <c r="K163" s="54" t="str">
        <f>IF(AND('Mapa final'!$AB$23="Baja",'Mapa final'!$AD$23="Leve"),CONCATENATE("R8C",'Mapa final'!$R$23),"")</f>
        <v/>
      </c>
      <c r="L163" s="116" t="str">
        <f>IF(AND('Mapa final'!$AB$24="Baja",'Mapa final'!$AD$24="Leve"),CONCATENATE("R8C",'Mapa final'!$R$24),"")</f>
        <v/>
      </c>
      <c r="M163" s="49" t="str">
        <f>IF(AND('Mapa final'!$AB$22="Baja",'Mapa final'!$AD$22="Menor"),CONCATENATE("R8C",'Mapa final'!$R$22),"")</f>
        <v/>
      </c>
      <c r="N163" s="50" t="str">
        <f>IF(AND('Mapa final'!$AB$23="Baja",'Mapa final'!$AD$23="Menor"),CONCATENATE("R8C",'Mapa final'!$R$23),"")</f>
        <v/>
      </c>
      <c r="O163" s="111" t="str">
        <f>IF(AND('Mapa final'!$AB$24="Baja",'Mapa final'!$AD$24="Menor"),CONCATENATE("R8C",'Mapa final'!$R$24),"")</f>
        <v/>
      </c>
      <c r="P163" s="49" t="str">
        <f>IF(AND('Mapa final'!$AB$22="Baja",'Mapa final'!$AD$22="Moderado"),CONCATENATE("R8C",'Mapa final'!$R$22),"")</f>
        <v/>
      </c>
      <c r="Q163" s="50" t="str">
        <f>IF(AND('Mapa final'!$AB$23="Baja",'Mapa final'!$AD$23="Moderado"),CONCATENATE("R8C",'Mapa final'!$R$23),"")</f>
        <v/>
      </c>
      <c r="R163" s="111" t="str">
        <f>IF(AND('Mapa final'!$AB$24="Baja",'Mapa final'!$AD$24="Moderado"),CONCATENATE("R8C",'Mapa final'!$R$24),"")</f>
        <v/>
      </c>
      <c r="S163" s="105" t="str">
        <f>IF(AND('Mapa final'!$AB$22="Baja",'Mapa final'!$AD$22="Mayor"),CONCATENATE("R8C",'Mapa final'!$R$22),"")</f>
        <v/>
      </c>
      <c r="T163" s="42" t="str">
        <f>IF(AND('Mapa final'!$AB$23="Baja",'Mapa final'!$AD$23="Mayor"),CONCATENATE("R8C",'Mapa final'!$R$23),"")</f>
        <v/>
      </c>
      <c r="U163" s="106" t="str">
        <f>IF(AND('Mapa final'!$AB$24="Baja",'Mapa final'!$AD$24="Mayor"),CONCATENATE("R8C",'Mapa final'!$R$24),"")</f>
        <v/>
      </c>
      <c r="V163" s="43" t="str">
        <f>IF(AND('Mapa final'!$AB$22="Baja",'Mapa final'!$AD$22="Catastrófico"),CONCATENATE("R8C",'Mapa final'!$R$22),"")</f>
        <v/>
      </c>
      <c r="W163" s="44" t="str">
        <f>IF(AND('Mapa final'!$AB$23="Baja",'Mapa final'!$AD$23="Catastrófico"),CONCATENATE("R8C",'Mapa final'!$R$23),"")</f>
        <v/>
      </c>
      <c r="X163" s="100" t="str">
        <f>IF(AND('Mapa final'!$AB$24="Baja",'Mapa final'!$AD$24="Catastrófico"),CONCATENATE("R8C",'Mapa final'!$R$24),"")</f>
        <v/>
      </c>
      <c r="Y163" s="56"/>
      <c r="Z163" s="312"/>
      <c r="AA163" s="313"/>
      <c r="AB163" s="313"/>
      <c r="AC163" s="313"/>
      <c r="AD163" s="313"/>
      <c r="AE163" s="314"/>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row>
    <row r="164" spans="1:61" ht="15" customHeight="1" x14ac:dyDescent="0.35">
      <c r="A164" s="56"/>
      <c r="B164" s="307"/>
      <c r="C164" s="307"/>
      <c r="D164" s="308"/>
      <c r="E164" s="283"/>
      <c r="F164" s="279"/>
      <c r="G164" s="279"/>
      <c r="H164" s="279"/>
      <c r="I164" s="279"/>
      <c r="J164" s="115" t="str">
        <f>IF(AND('Mapa final'!$AB$25="Baja",'Mapa final'!$AD$25="Leve"),CONCATENATE("R9C",'Mapa final'!$R$25),"")</f>
        <v/>
      </c>
      <c r="K164" s="54" t="str">
        <f>IF(AND('Mapa final'!$AB$26="Baja",'Mapa final'!$AD$26="Leve"),CONCATENATE("R9C",'Mapa final'!$R$26),"")</f>
        <v/>
      </c>
      <c r="L164" s="116" t="str">
        <f>IF(AND('Mapa final'!$AB$27="Baja",'Mapa final'!$AD$27="Leve"),CONCATENATE("R9C",'Mapa final'!$R$27),"")</f>
        <v/>
      </c>
      <c r="M164" s="49" t="str">
        <f>IF(AND('Mapa final'!$AB$25="Baja",'Mapa final'!$AD$25="Menor"),CONCATENATE("R9C",'Mapa final'!$R$25),"")</f>
        <v/>
      </c>
      <c r="N164" s="50" t="str">
        <f>IF(AND('Mapa final'!$AB$26="Baja",'Mapa final'!$AD$26="Menor"),CONCATENATE("R9C",'Mapa final'!$R$26),"")</f>
        <v/>
      </c>
      <c r="O164" s="111" t="str">
        <f>IF(AND('Mapa final'!$AB$27="Baja",'Mapa final'!$AD$27="Menor"),CONCATENATE("R9C",'Mapa final'!$R$27),"")</f>
        <v/>
      </c>
      <c r="P164" s="49" t="str">
        <f>IF(AND('Mapa final'!$AB$25="Baja",'Mapa final'!$AD$25="Moderado"),CONCATENATE("R9C",'Mapa final'!$R$25),"")</f>
        <v/>
      </c>
      <c r="Q164" s="50" t="str">
        <f>IF(AND('Mapa final'!$AB$26="Baja",'Mapa final'!$AD$26="Moderado"),CONCATENATE("R9C",'Mapa final'!$R$26),"")</f>
        <v/>
      </c>
      <c r="R164" s="111" t="str">
        <f>IF(AND('Mapa final'!$AB$27="Baja",'Mapa final'!$AD$27="Moderado"),CONCATENATE("R9C",'Mapa final'!$R$27),"")</f>
        <v/>
      </c>
      <c r="S164" s="105" t="str">
        <f>IF(AND('Mapa final'!$AB$25="Baja",'Mapa final'!$AD$25="Mayor"),CONCATENATE("R9C",'Mapa final'!$R$25),"")</f>
        <v/>
      </c>
      <c r="T164" s="42" t="str">
        <f>IF(AND('Mapa final'!$AB$26="Baja",'Mapa final'!$AD$26="Mayor"),CONCATENATE("R9C",'Mapa final'!$R$26),"")</f>
        <v>R9C2</v>
      </c>
      <c r="U164" s="106" t="str">
        <f>IF(AND('Mapa final'!$AB$27="Baja",'Mapa final'!$AD$27="Mayor"),CONCATENATE("R9C",'Mapa final'!$R$27),"")</f>
        <v/>
      </c>
      <c r="V164" s="43" t="str">
        <f>IF(AND('Mapa final'!$AB$25="Baja",'Mapa final'!$AD$25="Catastrófico"),CONCATENATE("R9C",'Mapa final'!$R$25),"")</f>
        <v/>
      </c>
      <c r="W164" s="44" t="str">
        <f>IF(AND('Mapa final'!$AB$26="Baja",'Mapa final'!$AD$26="Catastrófico"),CONCATENATE("R9C",'Mapa final'!$R$26),"")</f>
        <v/>
      </c>
      <c r="X164" s="100" t="str">
        <f>IF(AND('Mapa final'!$AB$27="Baja",'Mapa final'!$AD$27="Catastrófico"),CONCATENATE("R9C",'Mapa final'!$R$27),"")</f>
        <v/>
      </c>
      <c r="Y164" s="56"/>
      <c r="Z164" s="312"/>
      <c r="AA164" s="313"/>
      <c r="AB164" s="313"/>
      <c r="AC164" s="313"/>
      <c r="AD164" s="313"/>
      <c r="AE164" s="314"/>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row>
    <row r="165" spans="1:61" ht="15" customHeight="1" x14ac:dyDescent="0.35">
      <c r="A165" s="56"/>
      <c r="B165" s="307"/>
      <c r="C165" s="307"/>
      <c r="D165" s="308"/>
      <c r="E165" s="283"/>
      <c r="F165" s="279"/>
      <c r="G165" s="279"/>
      <c r="H165" s="279"/>
      <c r="I165" s="279"/>
      <c r="J165" s="115" t="str">
        <f>IF(AND('Mapa final'!$AB$28="Baja",'Mapa final'!$AD$28="Leve"),CONCATENATE("R10C",'Mapa final'!$R$28),"")</f>
        <v/>
      </c>
      <c r="K165" s="54" t="str">
        <f>IF(AND('Mapa final'!$AB$29="Baja",'Mapa final'!$AD$29="Leve"),CONCATENATE("R10C",'Mapa final'!$R$29),"")</f>
        <v/>
      </c>
      <c r="L165" s="116" t="str">
        <f>IF(AND('Mapa final'!$AB$30="Baja",'Mapa final'!$AD$30="Leve"),CONCATENATE("R10C",'Mapa final'!$R$30),"")</f>
        <v/>
      </c>
      <c r="M165" s="49" t="str">
        <f>IF(AND('Mapa final'!$AB$28="Baja",'Mapa final'!$AD$28="Menor"),CONCATENATE("R10C",'Mapa final'!$R$28),"")</f>
        <v/>
      </c>
      <c r="N165" s="50" t="str">
        <f>IF(AND('Mapa final'!$AB$29="Baja",'Mapa final'!$AD$29="Menor"),CONCATENATE("R10C",'Mapa final'!$R$29),"")</f>
        <v/>
      </c>
      <c r="O165" s="111" t="str">
        <f>IF(AND('Mapa final'!$AB$30="Baja",'Mapa final'!$AD$30="Menor"),CONCATENATE("R10C",'Mapa final'!$R$30),"")</f>
        <v/>
      </c>
      <c r="P165" s="49" t="str">
        <f>IF(AND('Mapa final'!$AB$28="Baja",'Mapa final'!$AD$28="Moderado"),CONCATENATE("R10C",'Mapa final'!$R$28),"")</f>
        <v/>
      </c>
      <c r="Q165" s="50" t="str">
        <f>IF(AND('Mapa final'!$AB$29="Baja",'Mapa final'!$AD$29="Moderado"),CONCATENATE("R10C",'Mapa final'!$R$29),"")</f>
        <v>R10C2</v>
      </c>
      <c r="R165" s="111" t="str">
        <f>IF(AND('Mapa final'!$AB$30="Baja",'Mapa final'!$AD$30="Moderado"),CONCATENATE("R10C",'Mapa final'!$R$30),"")</f>
        <v>R10C3</v>
      </c>
      <c r="S165" s="105" t="str">
        <f>IF(AND('Mapa final'!$AB$28="Baja",'Mapa final'!$AD$28="Mayor"),CONCATENATE("R10C",'Mapa final'!$R$28),"")</f>
        <v/>
      </c>
      <c r="T165" s="42" t="str">
        <f>IF(AND('Mapa final'!$AB$29="Baja",'Mapa final'!$AD$29="Mayor"),CONCATENATE("R10C",'Mapa final'!$R$29),"")</f>
        <v/>
      </c>
      <c r="U165" s="106" t="str">
        <f>IF(AND('Mapa final'!$AB$30="Baja",'Mapa final'!$AD$30="Mayor"),CONCATENATE("R10C",'Mapa final'!$R$30),"")</f>
        <v/>
      </c>
      <c r="V165" s="43" t="str">
        <f>IF(AND('Mapa final'!$AB$28="Baja",'Mapa final'!$AD$28="Catastrófico"),CONCATENATE("R10C",'Mapa final'!$R$28),"")</f>
        <v/>
      </c>
      <c r="W165" s="44" t="str">
        <f>IF(AND('Mapa final'!$AB$29="Baja",'Mapa final'!$AD$29="Catastrófico"),CONCATENATE("R10C",'Mapa final'!$R$29),"")</f>
        <v/>
      </c>
      <c r="X165" s="100" t="str">
        <f>IF(AND('Mapa final'!$AB$30="Baja",'Mapa final'!$AD$30="Catastrófico"),CONCATENATE("R10C",'Mapa final'!$R$30),"")</f>
        <v/>
      </c>
      <c r="Y165" s="56"/>
      <c r="Z165" s="312"/>
      <c r="AA165" s="313"/>
      <c r="AB165" s="313"/>
      <c r="AC165" s="313"/>
      <c r="AD165" s="313"/>
      <c r="AE165" s="314"/>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row>
    <row r="166" spans="1:61" ht="15" customHeight="1" x14ac:dyDescent="0.35">
      <c r="A166" s="56"/>
      <c r="B166" s="307"/>
      <c r="C166" s="307"/>
      <c r="D166" s="308"/>
      <c r="E166" s="283"/>
      <c r="F166" s="279"/>
      <c r="G166" s="279"/>
      <c r="H166" s="279"/>
      <c r="I166" s="279"/>
      <c r="J166" s="115" t="str">
        <f>IF(AND('Mapa final'!$AB$31="Baja",'Mapa final'!$AD$31="Leve"),CONCATENATE("R11C",'Mapa final'!$R$31),"")</f>
        <v/>
      </c>
      <c r="K166" s="54" t="str">
        <f>IF(AND('Mapa final'!$AB$32="Baja",'Mapa final'!$AD$32="Leve"),CONCATENATE("R11C",'Mapa final'!$R$32),"")</f>
        <v/>
      </c>
      <c r="L166" s="116" t="str">
        <f>IF(AND('Mapa final'!$AB$33="Baja",'Mapa final'!$AD$33="Leve"),CONCATENATE("R11C",'Mapa final'!$R$33),"")</f>
        <v/>
      </c>
      <c r="M166" s="49" t="str">
        <f>IF(AND('Mapa final'!$AB$31="Baja",'Mapa final'!$AD$31="Menor"),CONCATENATE("R11C",'Mapa final'!$R$31),"")</f>
        <v/>
      </c>
      <c r="N166" s="50" t="str">
        <f>IF(AND('Mapa final'!$AB$32="Baja",'Mapa final'!$AD$32="Menor"),CONCATENATE("R11C",'Mapa final'!$R$32),"")</f>
        <v/>
      </c>
      <c r="O166" s="111" t="str">
        <f>IF(AND('Mapa final'!$AB$33="Baja",'Mapa final'!$AD$33="Menor"),CONCATENATE("R11C",'Mapa final'!$R$33),"")</f>
        <v/>
      </c>
      <c r="P166" s="49" t="str">
        <f>IF(AND('Mapa final'!$AB$31="Baja",'Mapa final'!$AD$31="Moderado"),CONCATENATE("R11C",'Mapa final'!$R$31),"")</f>
        <v/>
      </c>
      <c r="Q166" s="50" t="str">
        <f>IF(AND('Mapa final'!$AB$32="Baja",'Mapa final'!$AD$32="Moderado"),CONCATENATE("R11C",'Mapa final'!$R$32),"")</f>
        <v/>
      </c>
      <c r="R166" s="111" t="str">
        <f>IF(AND('Mapa final'!$AB$33="Baja",'Mapa final'!$AD$33="Moderado"),CONCATENATE("R11C",'Mapa final'!$R$33),"")</f>
        <v/>
      </c>
      <c r="S166" s="105" t="str">
        <f>IF(AND('Mapa final'!$AB$31="Baja",'Mapa final'!$AD$31="Mayor"),CONCATENATE("R11C",'Mapa final'!$R$31),"")</f>
        <v>R11C1</v>
      </c>
      <c r="T166" s="42" t="str">
        <f>IF(AND('Mapa final'!$AB$32="Baja",'Mapa final'!$AD$32="Mayor"),CONCATENATE("R11C",'Mapa final'!$R$32),"")</f>
        <v/>
      </c>
      <c r="U166" s="106" t="str">
        <f>IF(AND('Mapa final'!$AB$33="Baja",'Mapa final'!$AD$33="Mayor"),CONCATENATE("R11C",'Mapa final'!$R$33),"")</f>
        <v/>
      </c>
      <c r="V166" s="43" t="str">
        <f>IF(AND('Mapa final'!$AB$31="Baja",'Mapa final'!$AD$31="Catastrófico"),CONCATENATE("R11C",'Mapa final'!$R$31),"")</f>
        <v/>
      </c>
      <c r="W166" s="44" t="str">
        <f>IF(AND('Mapa final'!$AB$32="Baja",'Mapa final'!$AD$32="Catastrófico"),CONCATENATE("R11C",'Mapa final'!$R$32),"")</f>
        <v/>
      </c>
      <c r="X166" s="100" t="str">
        <f>IF(AND('Mapa final'!$AB$33="Baja",'Mapa final'!$AD$33="Catastrófico"),CONCATENATE("R11C",'Mapa final'!$R$33),"")</f>
        <v/>
      </c>
      <c r="Y166" s="56"/>
      <c r="Z166" s="312"/>
      <c r="AA166" s="313"/>
      <c r="AB166" s="313"/>
      <c r="AC166" s="313"/>
      <c r="AD166" s="313"/>
      <c r="AE166" s="314"/>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row>
    <row r="167" spans="1:61" ht="15" customHeight="1" x14ac:dyDescent="0.35">
      <c r="A167" s="56"/>
      <c r="B167" s="307"/>
      <c r="C167" s="307"/>
      <c r="D167" s="308"/>
      <c r="E167" s="283"/>
      <c r="F167" s="279"/>
      <c r="G167" s="279"/>
      <c r="H167" s="279"/>
      <c r="I167" s="279"/>
      <c r="J167" s="115" t="str">
        <f>IF(AND('Mapa final'!$AB$34="Baja",'Mapa final'!$AD$34="Leve"),CONCATENATE("R12C",'Mapa final'!$R$34),"")</f>
        <v/>
      </c>
      <c r="K167" s="54" t="str">
        <f>IF(AND('Mapa final'!$AB$35="Baja",'Mapa final'!$AD$35="Leve"),CONCATENATE("R12C",'Mapa final'!$R$35),"")</f>
        <v/>
      </c>
      <c r="L167" s="116" t="str">
        <f>IF(AND('Mapa final'!$AB$36="Baja",'Mapa final'!$AD$36="Leve"),CONCATENATE("R12C",'Mapa final'!$R$36),"")</f>
        <v/>
      </c>
      <c r="M167" s="49" t="str">
        <f>IF(AND('Mapa final'!$AB$34="Baja",'Mapa final'!$AD$34="Menor"),CONCATENATE("R12C",'Mapa final'!$R$34),"")</f>
        <v/>
      </c>
      <c r="N167" s="50" t="str">
        <f>IF(AND('Mapa final'!$AB$35="Baja",'Mapa final'!$AD$35="Menor"),CONCATENATE("R12C",'Mapa final'!$R$35),"")</f>
        <v/>
      </c>
      <c r="O167" s="111" t="str">
        <f>IF(AND('Mapa final'!$AB$36="Baja",'Mapa final'!$AD$36="Menor"),CONCATENATE("R12C",'Mapa final'!$R$36),"")</f>
        <v/>
      </c>
      <c r="P167" s="49" t="str">
        <f>IF(AND('Mapa final'!$AB$34="Baja",'Mapa final'!$AD$34="Moderado"),CONCATENATE("R12C",'Mapa final'!$R$34),"")</f>
        <v>R12C1</v>
      </c>
      <c r="Q167" s="50" t="str">
        <f>IF(AND('Mapa final'!$AB$35="Baja",'Mapa final'!$AD$35="Moderado"),CONCATENATE("R12C",'Mapa final'!$R$35),"")</f>
        <v/>
      </c>
      <c r="R167" s="111" t="str">
        <f>IF(AND('Mapa final'!$AB$36="Baja",'Mapa final'!$AD$36="Moderado"),CONCATENATE("R12C",'Mapa final'!$R$36),"")</f>
        <v/>
      </c>
      <c r="S167" s="105" t="str">
        <f>IF(AND('Mapa final'!$AB$34="Baja",'Mapa final'!$AD$34="Mayor"),CONCATENATE("R12C",'Mapa final'!$R$34),"")</f>
        <v/>
      </c>
      <c r="T167" s="42" t="str">
        <f>IF(AND('Mapa final'!$AB$35="Baja",'Mapa final'!$AD$35="Mayor"),CONCATENATE("R12C",'Mapa final'!$R$35),"")</f>
        <v/>
      </c>
      <c r="U167" s="106" t="str">
        <f>IF(AND('Mapa final'!$AB$36="Baja",'Mapa final'!$AD$36="Mayor"),CONCATENATE("R12C",'Mapa final'!$R$36),"")</f>
        <v/>
      </c>
      <c r="V167" s="43" t="str">
        <f>IF(AND('Mapa final'!$AB$34="Baja",'Mapa final'!$AD$34="Catastrófico"),CONCATENATE("R12C",'Mapa final'!$R$34),"")</f>
        <v/>
      </c>
      <c r="W167" s="44" t="str">
        <f>IF(AND('Mapa final'!$AB$35="Baja",'Mapa final'!$AD$35="Catastrófico"),CONCATENATE("R12C",'Mapa final'!$R$35),"")</f>
        <v/>
      </c>
      <c r="X167" s="100" t="str">
        <f>IF(AND('Mapa final'!$AB$36="Baja",'Mapa final'!$AD$36="Catastrófico"),CONCATENATE("R12C",'Mapa final'!$R$36),"")</f>
        <v/>
      </c>
      <c r="Y167" s="56"/>
      <c r="Z167" s="312"/>
      <c r="AA167" s="313"/>
      <c r="AB167" s="313"/>
      <c r="AC167" s="313"/>
      <c r="AD167" s="313"/>
      <c r="AE167" s="314"/>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row>
    <row r="168" spans="1:61" ht="15" customHeight="1" x14ac:dyDescent="0.35">
      <c r="A168" s="56"/>
      <c r="B168" s="307"/>
      <c r="C168" s="307"/>
      <c r="D168" s="308"/>
      <c r="E168" s="283"/>
      <c r="F168" s="279"/>
      <c r="G168" s="279"/>
      <c r="H168" s="279"/>
      <c r="I168" s="279"/>
      <c r="J168" s="115" t="str">
        <f>IF(AND('Mapa final'!$AB$37="Baja",'Mapa final'!$AD$37="Leve"),CONCATENATE("R13C",'Mapa final'!$R$37),"")</f>
        <v/>
      </c>
      <c r="K168" s="54" t="str">
        <f>IF(AND('Mapa final'!$AB$38="Baja",'Mapa final'!$AD$38="Leve"),CONCATENATE("R13C",'Mapa final'!$R$38),"")</f>
        <v/>
      </c>
      <c r="L168" s="116" t="str">
        <f>IF(AND('Mapa final'!$AB$39="Baja",'Mapa final'!$AD$39="Leve"),CONCATENATE("R13C",'Mapa final'!$R$39),"")</f>
        <v/>
      </c>
      <c r="M168" s="49" t="str">
        <f>IF(AND('Mapa final'!$AB$37="Baja",'Mapa final'!$AD$37="Menor"),CONCATENATE("R13C",'Mapa final'!$R$37),"")</f>
        <v/>
      </c>
      <c r="N168" s="50" t="str">
        <f>IF(AND('Mapa final'!$AB$38="Baja",'Mapa final'!$AD$38="Menor"),CONCATENATE("R13C",'Mapa final'!$R$38),"")</f>
        <v/>
      </c>
      <c r="O168" s="111" t="str">
        <f>IF(AND('Mapa final'!$AB$39="Baja",'Mapa final'!$AD$39="Menor"),CONCATENATE("R13C",'Mapa final'!$R$39),"")</f>
        <v/>
      </c>
      <c r="P168" s="49" t="str">
        <f>IF(AND('Mapa final'!$AB$37="Baja",'Mapa final'!$AD$37="Moderado"),CONCATENATE("R13C",'Mapa final'!$R$37),"")</f>
        <v/>
      </c>
      <c r="Q168" s="50" t="str">
        <f>IF(AND('Mapa final'!$AB$38="Baja",'Mapa final'!$AD$38="Moderado"),CONCATENATE("R13C",'Mapa final'!$R$38),"")</f>
        <v/>
      </c>
      <c r="R168" s="111" t="str">
        <f>IF(AND('Mapa final'!$AB$39="Baja",'Mapa final'!$AD$39="Moderado"),CONCATENATE("R13C",'Mapa final'!$R$39),"")</f>
        <v/>
      </c>
      <c r="S168" s="105" t="str">
        <f>IF(AND('Mapa final'!$AB$37="Baja",'Mapa final'!$AD$37="Mayor"),CONCATENATE("R13C",'Mapa final'!$R$37),"")</f>
        <v/>
      </c>
      <c r="T168" s="42" t="str">
        <f>IF(AND('Mapa final'!$AB$38="Baja",'Mapa final'!$AD$38="Mayor"),CONCATENATE("R13C",'Mapa final'!$R$38),"")</f>
        <v/>
      </c>
      <c r="U168" s="106" t="str">
        <f>IF(AND('Mapa final'!$AB$39="Baja",'Mapa final'!$AD$39="Mayor"),CONCATENATE("R13C",'Mapa final'!$R$39),"")</f>
        <v/>
      </c>
      <c r="V168" s="43" t="str">
        <f>IF(AND('Mapa final'!$AB$37="Baja",'Mapa final'!$AD$37="Catastrófico"),CONCATENATE("R13C",'Mapa final'!$R$37),"")</f>
        <v/>
      </c>
      <c r="W168" s="44" t="str">
        <f>IF(AND('Mapa final'!$AB$38="Baja",'Mapa final'!$AD$38="Catastrófico"),CONCATENATE("R13C",'Mapa final'!$R$38),"")</f>
        <v/>
      </c>
      <c r="X168" s="100" t="str">
        <f>IF(AND('Mapa final'!$AB$39="Baja",'Mapa final'!$AD$39="Catastrófico"),CONCATENATE("R13C",'Mapa final'!$R$39),"")</f>
        <v/>
      </c>
      <c r="Y168" s="56"/>
      <c r="Z168" s="312"/>
      <c r="AA168" s="313"/>
      <c r="AB168" s="313"/>
      <c r="AC168" s="313"/>
      <c r="AD168" s="313"/>
      <c r="AE168" s="314"/>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row>
    <row r="169" spans="1:61" ht="15" customHeight="1" x14ac:dyDescent="0.35">
      <c r="A169" s="56"/>
      <c r="B169" s="307"/>
      <c r="C169" s="307"/>
      <c r="D169" s="308"/>
      <c r="E169" s="283"/>
      <c r="F169" s="279"/>
      <c r="G169" s="279"/>
      <c r="H169" s="279"/>
      <c r="I169" s="279"/>
      <c r="J169" s="115" t="str">
        <f>IF(AND('Mapa final'!$AB$40="Baja",'Mapa final'!$AD$40="Leve"),CONCATENATE("R14C",'Mapa final'!$R$40),"")</f>
        <v/>
      </c>
      <c r="K169" s="54" t="str">
        <f>IF(AND('Mapa final'!$AB$41="Baja",'Mapa final'!$AD$41="Leve"),CONCATENATE("R14C",'Mapa final'!$R$41),"")</f>
        <v/>
      </c>
      <c r="L169" s="116" t="str">
        <f>IF(AND('Mapa final'!$AB$42="Baja",'Mapa final'!$AD$42="Leve"),CONCATENATE("R14C",'Mapa final'!$R$42),"")</f>
        <v/>
      </c>
      <c r="M169" s="49" t="str">
        <f>IF(AND('Mapa final'!$AB$40="Baja",'Mapa final'!$AD$40="Menor"),CONCATENATE("R14C",'Mapa final'!$R$40),"")</f>
        <v/>
      </c>
      <c r="N169" s="50" t="str">
        <f>IF(AND('Mapa final'!$AB$41="Baja",'Mapa final'!$AD$41="Menor"),CONCATENATE("R14C",'Mapa final'!$R$41),"")</f>
        <v/>
      </c>
      <c r="O169" s="111" t="str">
        <f>IF(AND('Mapa final'!$AB$42="Baja",'Mapa final'!$AD$42="Menor"),CONCATENATE("R14C",'Mapa final'!$R$42),"")</f>
        <v/>
      </c>
      <c r="P169" s="49" t="str">
        <f>IF(AND('Mapa final'!$AB$40="Baja",'Mapa final'!$AD$40="Moderado"),CONCATENATE("R14C",'Mapa final'!$R$40),"")</f>
        <v>R14C1</v>
      </c>
      <c r="Q169" s="50" t="str">
        <f>IF(AND('Mapa final'!$AB$41="Baja",'Mapa final'!$AD$41="Moderado"),CONCATENATE("R14C",'Mapa final'!$R$41),"")</f>
        <v/>
      </c>
      <c r="R169" s="111" t="str">
        <f>IF(AND('Mapa final'!$AB$42="Baja",'Mapa final'!$AD$42="Moderado"),CONCATENATE("R14C",'Mapa final'!$R$42),"")</f>
        <v/>
      </c>
      <c r="S169" s="105" t="str">
        <f>IF(AND('Mapa final'!$AB$40="Baja",'Mapa final'!$AD$40="Mayor"),CONCATENATE("R14C",'Mapa final'!$R$40),"")</f>
        <v/>
      </c>
      <c r="T169" s="42" t="str">
        <f>IF(AND('Mapa final'!$AB$41="Baja",'Mapa final'!$AD$41="Mayor"),CONCATENATE("R14C",'Mapa final'!$R$41),"")</f>
        <v/>
      </c>
      <c r="U169" s="106" t="str">
        <f>IF(AND('Mapa final'!$AB$42="Baja",'Mapa final'!$AD$42="Mayor"),CONCATENATE("R14C",'Mapa final'!$R$42),"")</f>
        <v/>
      </c>
      <c r="V169" s="43" t="str">
        <f>IF(AND('Mapa final'!$AB$40="Baja",'Mapa final'!$AD$40="Catastrófico"),CONCATENATE("R14C",'Mapa final'!$R$40),"")</f>
        <v/>
      </c>
      <c r="W169" s="44" t="str">
        <f>IF(AND('Mapa final'!$AB$41="Baja",'Mapa final'!$AD$41="Catastrófico"),CONCATENATE("R14C",'Mapa final'!$R$41),"")</f>
        <v/>
      </c>
      <c r="X169" s="100" t="str">
        <f>IF(AND('Mapa final'!$AB$42="Baja",'Mapa final'!$AD$42="Catastrófico"),CONCATENATE("R14C",'Mapa final'!$R$42),"")</f>
        <v/>
      </c>
      <c r="Y169" s="56"/>
      <c r="Z169" s="312"/>
      <c r="AA169" s="313"/>
      <c r="AB169" s="313"/>
      <c r="AC169" s="313"/>
      <c r="AD169" s="313"/>
      <c r="AE169" s="314"/>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row>
    <row r="170" spans="1:61" ht="15" customHeight="1" x14ac:dyDescent="0.35">
      <c r="A170" s="56"/>
      <c r="B170" s="307"/>
      <c r="C170" s="307"/>
      <c r="D170" s="308"/>
      <c r="E170" s="283"/>
      <c r="F170" s="279"/>
      <c r="G170" s="279"/>
      <c r="H170" s="279"/>
      <c r="I170" s="279"/>
      <c r="J170" s="115" t="str">
        <f>IF(AND('Mapa final'!$AB$43="Baja",'Mapa final'!$AD$43="Leve"),CONCATENATE("R15C",'Mapa final'!$R$43),"")</f>
        <v/>
      </c>
      <c r="K170" s="54" t="str">
        <f>IF(AND('Mapa final'!$AB$44="Baja",'Mapa final'!$AD$44="Leve"),CONCATENATE("R15C",'Mapa final'!$R$44),"")</f>
        <v/>
      </c>
      <c r="L170" s="116" t="str">
        <f>IF(AND('Mapa final'!$AB$45="Baja",'Mapa final'!$AD$45="Leve"),CONCATENATE("R15C",'Mapa final'!$R$45),"")</f>
        <v/>
      </c>
      <c r="M170" s="49" t="str">
        <f>IF(AND('Mapa final'!$AB$43="Baja",'Mapa final'!$AD$43="Menor"),CONCATENATE("R15C",'Mapa final'!$R$43),"")</f>
        <v/>
      </c>
      <c r="N170" s="50" t="str">
        <f>IF(AND('Mapa final'!$AB$44="Baja",'Mapa final'!$AD$44="Menor"),CONCATENATE("R15C",'Mapa final'!$R$44),"")</f>
        <v/>
      </c>
      <c r="O170" s="111" t="str">
        <f>IF(AND('Mapa final'!$AB$45="Baja",'Mapa final'!$AD$45="Menor"),CONCATENATE("R15C",'Mapa final'!$R$45),"")</f>
        <v/>
      </c>
      <c r="P170" s="49" t="str">
        <f>IF(AND('Mapa final'!$AB$43="Baja",'Mapa final'!$AD$43="Moderado"),CONCATENATE("R15C",'Mapa final'!$R$43),"")</f>
        <v/>
      </c>
      <c r="Q170" s="50" t="str">
        <f>IF(AND('Mapa final'!$AB$44="Baja",'Mapa final'!$AD$44="Moderado"),CONCATENATE("R15C",'Mapa final'!$R$44),"")</f>
        <v/>
      </c>
      <c r="R170" s="111" t="str">
        <f>IF(AND('Mapa final'!$AB$45="Baja",'Mapa final'!$AD$45="Moderado"),CONCATENATE("R15C",'Mapa final'!$R$45),"")</f>
        <v/>
      </c>
      <c r="S170" s="105" t="str">
        <f>IF(AND('Mapa final'!$AB$43="Baja",'Mapa final'!$AD$43="Mayor"),CONCATENATE("R15C",'Mapa final'!$R$43),"")</f>
        <v/>
      </c>
      <c r="T170" s="42" t="str">
        <f>IF(AND('Mapa final'!$AB$44="Baja",'Mapa final'!$AD$44="Mayor"),CONCATENATE("R15C",'Mapa final'!$R$44),"")</f>
        <v/>
      </c>
      <c r="U170" s="106" t="str">
        <f>IF(AND('Mapa final'!$AB$45="Baja",'Mapa final'!$AD$45="Mayor"),CONCATENATE("R15C",'Mapa final'!$R$45),"")</f>
        <v/>
      </c>
      <c r="V170" s="43" t="str">
        <f>IF(AND('Mapa final'!$AB$43="Baja",'Mapa final'!$AD$43="Catastrófico"),CONCATENATE("R15C",'Mapa final'!$R$43),"")</f>
        <v/>
      </c>
      <c r="W170" s="44" t="str">
        <f>IF(AND('Mapa final'!$AB$44="Baja",'Mapa final'!$AD$44="Catastrófico"),CONCATENATE("R15C",'Mapa final'!$R$44),"")</f>
        <v/>
      </c>
      <c r="X170" s="100" t="str">
        <f>IF(AND('Mapa final'!$AB$45="Baja",'Mapa final'!$AD$45="Catastrófico"),CONCATENATE("R15C",'Mapa final'!$R$45),"")</f>
        <v/>
      </c>
      <c r="Y170" s="56"/>
      <c r="Z170" s="312"/>
      <c r="AA170" s="313"/>
      <c r="AB170" s="313"/>
      <c r="AC170" s="313"/>
      <c r="AD170" s="313"/>
      <c r="AE170" s="314"/>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row>
    <row r="171" spans="1:61" ht="15" customHeight="1" x14ac:dyDescent="0.35">
      <c r="A171" s="56"/>
      <c r="B171" s="307"/>
      <c r="C171" s="307"/>
      <c r="D171" s="308"/>
      <c r="E171" s="283"/>
      <c r="F171" s="279"/>
      <c r="G171" s="279"/>
      <c r="H171" s="279"/>
      <c r="I171" s="279"/>
      <c r="J171" s="115" t="str">
        <f>IF(AND('Mapa final'!$AB$46="Baja",'Mapa final'!$AD$46="Leve"),CONCATENATE("R16C",'Mapa final'!$R$46),"")</f>
        <v/>
      </c>
      <c r="K171" s="54" t="str">
        <f>IF(AND('Mapa final'!$AB$47="Baja",'Mapa final'!$AD$47="Leve"),CONCATENATE("R16C",'Mapa final'!$R$47),"")</f>
        <v/>
      </c>
      <c r="L171" s="116" t="str">
        <f>IF(AND('Mapa final'!$AB$48="Baja",'Mapa final'!$AD$48="Leve"),CONCATENATE("R16C",'Mapa final'!$R$48),"")</f>
        <v/>
      </c>
      <c r="M171" s="49" t="str">
        <f>IF(AND('Mapa final'!$AB$46="Baja",'Mapa final'!$AD$46="Menor"),CONCATENATE("R16C",'Mapa final'!$R$46),"")</f>
        <v/>
      </c>
      <c r="N171" s="50" t="str">
        <f>IF(AND('Mapa final'!$AB$47="Baja",'Mapa final'!$AD$47="Menor"),CONCATENATE("R16C",'Mapa final'!$R$47),"")</f>
        <v/>
      </c>
      <c r="O171" s="111" t="str">
        <f>IF(AND('Mapa final'!$AB$48="Baja",'Mapa final'!$AD$48="Menor"),CONCATENATE("R16C",'Mapa final'!$R$48),"")</f>
        <v/>
      </c>
      <c r="P171" s="49" t="str">
        <f>IF(AND('Mapa final'!$AB$46="Baja",'Mapa final'!$AD$46="Moderado"),CONCATENATE("R16C",'Mapa final'!$R$46),"")</f>
        <v>R16C1</v>
      </c>
      <c r="Q171" s="50" t="str">
        <f>IF(AND('Mapa final'!$AB$47="Baja",'Mapa final'!$AD$47="Moderado"),CONCATENATE("R16C",'Mapa final'!$R$47),"")</f>
        <v/>
      </c>
      <c r="R171" s="111" t="str">
        <f>IF(AND('Mapa final'!$AB$48="Baja",'Mapa final'!$AD$48="Moderado"),CONCATENATE("R16C",'Mapa final'!$R$48),"")</f>
        <v/>
      </c>
      <c r="S171" s="105" t="str">
        <f>IF(AND('Mapa final'!$AB$46="Baja",'Mapa final'!$AD$46="Mayor"),CONCATENATE("R16C",'Mapa final'!$R$46),"")</f>
        <v/>
      </c>
      <c r="T171" s="42" t="str">
        <f>IF(AND('Mapa final'!$AB$47="Baja",'Mapa final'!$AD$47="Mayor"),CONCATENATE("R16C",'Mapa final'!$R$47),"")</f>
        <v/>
      </c>
      <c r="U171" s="106" t="str">
        <f>IF(AND('Mapa final'!$AB$48="Baja",'Mapa final'!$AD$48="Mayor"),CONCATENATE("R16C",'Mapa final'!$R$48),"")</f>
        <v/>
      </c>
      <c r="V171" s="43" t="str">
        <f>IF(AND('Mapa final'!$AB$46="Baja",'Mapa final'!$AD$46="Catastrófico"),CONCATENATE("R16C",'Mapa final'!$R$46),"")</f>
        <v/>
      </c>
      <c r="W171" s="44" t="str">
        <f>IF(AND('Mapa final'!$AB$47="Baja",'Mapa final'!$AD$47="Catastrófico"),CONCATENATE("R16C",'Mapa final'!$R$47),"")</f>
        <v/>
      </c>
      <c r="X171" s="100" t="str">
        <f>IF(AND('Mapa final'!$AB$48="Baja",'Mapa final'!$AD$48="Catastrófico"),CONCATENATE("R16C",'Mapa final'!$R$48),"")</f>
        <v/>
      </c>
      <c r="Y171" s="56"/>
      <c r="Z171" s="312"/>
      <c r="AA171" s="313"/>
      <c r="AB171" s="313"/>
      <c r="AC171" s="313"/>
      <c r="AD171" s="313"/>
      <c r="AE171" s="314"/>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row>
    <row r="172" spans="1:61" ht="15" customHeight="1" x14ac:dyDescent="0.35">
      <c r="A172" s="56"/>
      <c r="B172" s="307"/>
      <c r="C172" s="307"/>
      <c r="D172" s="308"/>
      <c r="E172" s="283"/>
      <c r="F172" s="279"/>
      <c r="G172" s="279"/>
      <c r="H172" s="279"/>
      <c r="I172" s="279"/>
      <c r="J172" s="115" t="str">
        <f>IF(AND('Mapa final'!$AB$49="Baja",'Mapa final'!$AD$49="Leve"),CONCATENATE("R17C",'Mapa final'!$R$49),"")</f>
        <v/>
      </c>
      <c r="K172" s="54" t="str">
        <f>IF(AND('Mapa final'!$AB$50="Baja",'Mapa final'!$AD$50="Leve"),CONCATENATE("R17C",'Mapa final'!$R$50),"")</f>
        <v/>
      </c>
      <c r="L172" s="116" t="str">
        <f>IF(AND('Mapa final'!$AB$51="Baja",'Mapa final'!$AD$51="Leve"),CONCATENATE("R17C",'Mapa final'!$R$51),"")</f>
        <v/>
      </c>
      <c r="M172" s="49" t="str">
        <f>IF(AND('Mapa final'!$AB$49="Baja",'Mapa final'!$AD$49="Menor"),CONCATENATE("R17C",'Mapa final'!$R$49),"")</f>
        <v/>
      </c>
      <c r="N172" s="50" t="str">
        <f>IF(AND('Mapa final'!$AB$50="Baja",'Mapa final'!$AD$50="Menor"),CONCATENATE("R17C",'Mapa final'!$R$50),"")</f>
        <v/>
      </c>
      <c r="O172" s="111" t="str">
        <f>IF(AND('Mapa final'!$AB$51="Baja",'Mapa final'!$AD$51="Menor"),CONCATENATE("R17C",'Mapa final'!$R$51),"")</f>
        <v/>
      </c>
      <c r="P172" s="49" t="str">
        <f>IF(AND('Mapa final'!$AB$49="Baja",'Mapa final'!$AD$49="Moderado"),CONCATENATE("R17C",'Mapa final'!$R$49),"")</f>
        <v/>
      </c>
      <c r="Q172" s="50" t="str">
        <f>IF(AND('Mapa final'!$AB$50="Baja",'Mapa final'!$AD$50="Moderado"),CONCATENATE("R17C",'Mapa final'!$R$50),"")</f>
        <v/>
      </c>
      <c r="R172" s="111" t="str">
        <f>IF(AND('Mapa final'!$AB$51="Baja",'Mapa final'!$AD$51="Moderado"),CONCATENATE("R17C",'Mapa final'!$R$51),"")</f>
        <v/>
      </c>
      <c r="S172" s="105" t="str">
        <f>IF(AND('Mapa final'!$AB$49="Baja",'Mapa final'!$AD$49="Mayor"),CONCATENATE("R17C",'Mapa final'!$R$49),"")</f>
        <v/>
      </c>
      <c r="T172" s="42" t="str">
        <f>IF(AND('Mapa final'!$AB$50="Baja",'Mapa final'!$AD$50="Mayor"),CONCATENATE("R17C",'Mapa final'!$R$50),"")</f>
        <v/>
      </c>
      <c r="U172" s="106" t="str">
        <f>IF(AND('Mapa final'!$AB$51="Baja",'Mapa final'!$AD$51="Mayor"),CONCATENATE("R17C",'Mapa final'!$R$51),"")</f>
        <v/>
      </c>
      <c r="V172" s="43" t="str">
        <f>IF(AND('Mapa final'!$AB$49="Baja",'Mapa final'!$AD$49="Catastrófico"),CONCATENATE("R17C",'Mapa final'!$R$49),"")</f>
        <v/>
      </c>
      <c r="W172" s="44" t="str">
        <f>IF(AND('Mapa final'!$AB$50="Baja",'Mapa final'!$AD$50="Catastrófico"),CONCATENATE("R17C",'Mapa final'!$R$50),"")</f>
        <v/>
      </c>
      <c r="X172" s="100" t="str">
        <f>IF(AND('Mapa final'!$AB$51="Baja",'Mapa final'!$AD$51="Catastrófico"),CONCATENATE("R17C",'Mapa final'!$R$51),"")</f>
        <v/>
      </c>
      <c r="Y172" s="56"/>
      <c r="Z172" s="312"/>
      <c r="AA172" s="313"/>
      <c r="AB172" s="313"/>
      <c r="AC172" s="313"/>
      <c r="AD172" s="313"/>
      <c r="AE172" s="314"/>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row>
    <row r="173" spans="1:61" ht="15" customHeight="1" x14ac:dyDescent="0.35">
      <c r="A173" s="56"/>
      <c r="B173" s="307"/>
      <c r="C173" s="307"/>
      <c r="D173" s="308"/>
      <c r="E173" s="283"/>
      <c r="F173" s="279"/>
      <c r="G173" s="279"/>
      <c r="H173" s="279"/>
      <c r="I173" s="279"/>
      <c r="J173" s="115" t="str">
        <f>IF(AND('Mapa final'!$AB$52="Baja",'Mapa final'!$AD$52="Leve"),CONCATENATE("R18C",'Mapa final'!$R$52),"")</f>
        <v/>
      </c>
      <c r="K173" s="54" t="str">
        <f>IF(AND('Mapa final'!$AB$53="Baja",'Mapa final'!$AD$53="Leve"),CONCATENATE("R18C",'Mapa final'!$R$53),"")</f>
        <v/>
      </c>
      <c r="L173" s="116" t="str">
        <f>IF(AND('Mapa final'!$AB$54="Baja",'Mapa final'!$AD$54="Leve"),CONCATENATE("R18C",'Mapa final'!$R$54),"")</f>
        <v/>
      </c>
      <c r="M173" s="49" t="str">
        <f>IF(AND('Mapa final'!$AB$52="Baja",'Mapa final'!$AD$52="Menor"),CONCATENATE("R18C",'Mapa final'!$R$52),"")</f>
        <v/>
      </c>
      <c r="N173" s="50" t="str">
        <f>IF(AND('Mapa final'!$AB$53="Baja",'Mapa final'!$AD$53="Menor"),CONCATENATE("R18C",'Mapa final'!$R$53),"")</f>
        <v/>
      </c>
      <c r="O173" s="111" t="str">
        <f>IF(AND('Mapa final'!$AB$54="Baja",'Mapa final'!$AD$54="Menor"),CONCATENATE("R18C",'Mapa final'!$R$54),"")</f>
        <v/>
      </c>
      <c r="P173" s="49" t="str">
        <f>IF(AND('Mapa final'!$AB$52="Baja",'Mapa final'!$AD$52="Moderado"),CONCATENATE("R18C",'Mapa final'!$R$52),"")</f>
        <v/>
      </c>
      <c r="Q173" s="50" t="str">
        <f>IF(AND('Mapa final'!$AB$53="Baja",'Mapa final'!$AD$53="Moderado"),CONCATENATE("R18C",'Mapa final'!$R$53),"")</f>
        <v>R18C2</v>
      </c>
      <c r="R173" s="111" t="str">
        <f>IF(AND('Mapa final'!$AB$54="Baja",'Mapa final'!$AD$54="Moderado"),CONCATENATE("R18C",'Mapa final'!$R$54),"")</f>
        <v/>
      </c>
      <c r="S173" s="105" t="str">
        <f>IF(AND('Mapa final'!$AB$52="Baja",'Mapa final'!$AD$52="Mayor"),CONCATENATE("R18C",'Mapa final'!$R$52),"")</f>
        <v/>
      </c>
      <c r="T173" s="42" t="str">
        <f>IF(AND('Mapa final'!$AB$53="Baja",'Mapa final'!$AD$53="Mayor"),CONCATENATE("R18C",'Mapa final'!$R$53),"")</f>
        <v/>
      </c>
      <c r="U173" s="106" t="str">
        <f>IF(AND('Mapa final'!$AB$54="Baja",'Mapa final'!$AD$54="Mayor"),CONCATENATE("R18C",'Mapa final'!$R$54),"")</f>
        <v/>
      </c>
      <c r="V173" s="43" t="str">
        <f>IF(AND('Mapa final'!$AB$52="Baja",'Mapa final'!$AD$52="Catastrófico"),CONCATENATE("R18C",'Mapa final'!$R$52),"")</f>
        <v/>
      </c>
      <c r="W173" s="44" t="str">
        <f>IF(AND('Mapa final'!$AB$53="Baja",'Mapa final'!$AD$53="Catastrófico"),CONCATENATE("R18C",'Mapa final'!$R$53),"")</f>
        <v/>
      </c>
      <c r="X173" s="100" t="str">
        <f>IF(AND('Mapa final'!$AB$54="Baja",'Mapa final'!$AD$54="Catastrófico"),CONCATENATE("R18C",'Mapa final'!$R$54),"")</f>
        <v/>
      </c>
      <c r="Y173" s="56"/>
      <c r="Z173" s="312"/>
      <c r="AA173" s="313"/>
      <c r="AB173" s="313"/>
      <c r="AC173" s="313"/>
      <c r="AD173" s="313"/>
      <c r="AE173" s="314"/>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row>
    <row r="174" spans="1:61" ht="15" customHeight="1" x14ac:dyDescent="0.35">
      <c r="A174" s="56"/>
      <c r="B174" s="307"/>
      <c r="C174" s="307"/>
      <c r="D174" s="308"/>
      <c r="E174" s="283"/>
      <c r="F174" s="279"/>
      <c r="G174" s="279"/>
      <c r="H174" s="279"/>
      <c r="I174" s="279"/>
      <c r="J174" s="115" t="str">
        <f>IF(AND('Mapa final'!$AB$55="Baja",'Mapa final'!$AD$55="Leve"),CONCATENATE("R19C",'Mapa final'!$R$55),"")</f>
        <v/>
      </c>
      <c r="K174" s="54" t="str">
        <f>IF(AND('Mapa final'!$AB$56="Baja",'Mapa final'!$AD$56="Leve"),CONCATENATE("R19C",'Mapa final'!$R$56),"")</f>
        <v/>
      </c>
      <c r="L174" s="116" t="str">
        <f>IF(AND('Mapa final'!$AB$57="Baja",'Mapa final'!$AD$57="Leve"),CONCATENATE("R19C",'Mapa final'!$R$57),"")</f>
        <v/>
      </c>
      <c r="M174" s="49" t="str">
        <f>IF(AND('Mapa final'!$AB$55="Baja",'Mapa final'!$AD$55="Menor"),CONCATENATE("R19C",'Mapa final'!$R$55),"")</f>
        <v/>
      </c>
      <c r="N174" s="50" t="str">
        <f>IF(AND('Mapa final'!$AB$56="Baja",'Mapa final'!$AD$56="Menor"),CONCATENATE("R19C",'Mapa final'!$R$56),"")</f>
        <v/>
      </c>
      <c r="O174" s="111" t="str">
        <f>IF(AND('Mapa final'!$AB$57="Baja",'Mapa final'!$AD$57="Menor"),CONCATENATE("R19C",'Mapa final'!$R$57),"")</f>
        <v/>
      </c>
      <c r="P174" s="49" t="str">
        <f>IF(AND('Mapa final'!$AB$55="Baja",'Mapa final'!$AD$55="Moderado"),CONCATENATE("R19C",'Mapa final'!$R$55),"")</f>
        <v/>
      </c>
      <c r="Q174" s="50" t="str">
        <f>IF(AND('Mapa final'!$AB$56="Baja",'Mapa final'!$AD$56="Moderado"),CONCATENATE("R19C",'Mapa final'!$R$56),"")</f>
        <v/>
      </c>
      <c r="R174" s="111" t="str">
        <f>IF(AND('Mapa final'!$AB$57="Baja",'Mapa final'!$AD$57="Moderado"),CONCATENATE("R19C",'Mapa final'!$R$57),"")</f>
        <v/>
      </c>
      <c r="S174" s="105" t="str">
        <f>IF(AND('Mapa final'!$AB$55="Baja",'Mapa final'!$AD$55="Mayor"),CONCATENATE("R19C",'Mapa final'!$R$55),"")</f>
        <v/>
      </c>
      <c r="T174" s="42" t="str">
        <f>IF(AND('Mapa final'!$AB$56="Baja",'Mapa final'!$AD$56="Mayor"),CONCATENATE("R19C",'Mapa final'!$R$56),"")</f>
        <v/>
      </c>
      <c r="U174" s="106" t="str">
        <f>IF(AND('Mapa final'!$AB$57="Baja",'Mapa final'!$AD$57="Mayor"),CONCATENATE("R19C",'Mapa final'!$R$57),"")</f>
        <v/>
      </c>
      <c r="V174" s="43" t="str">
        <f>IF(AND('Mapa final'!$AB$55="Baja",'Mapa final'!$AD$55="Catastrófico"),CONCATENATE("R19C",'Mapa final'!$R$55),"")</f>
        <v/>
      </c>
      <c r="W174" s="44" t="str">
        <f>IF(AND('Mapa final'!$AB$56="Baja",'Mapa final'!$AD$56="Catastrófico"),CONCATENATE("R19C",'Mapa final'!$R$56),"")</f>
        <v/>
      </c>
      <c r="X174" s="100" t="str">
        <f>IF(AND('Mapa final'!$AB$57="Baja",'Mapa final'!$AD$57="Catastrófico"),CONCATENATE("R19C",'Mapa final'!$R$57),"")</f>
        <v/>
      </c>
      <c r="Y174" s="56"/>
      <c r="Z174" s="312"/>
      <c r="AA174" s="313"/>
      <c r="AB174" s="313"/>
      <c r="AC174" s="313"/>
      <c r="AD174" s="313"/>
      <c r="AE174" s="314"/>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row>
    <row r="175" spans="1:61" ht="15" customHeight="1" x14ac:dyDescent="0.35">
      <c r="A175" s="56"/>
      <c r="B175" s="307"/>
      <c r="C175" s="307"/>
      <c r="D175" s="308"/>
      <c r="E175" s="283"/>
      <c r="F175" s="279"/>
      <c r="G175" s="279"/>
      <c r="H175" s="279"/>
      <c r="I175" s="279"/>
      <c r="J175" s="115" t="str">
        <f>IF(AND('Mapa final'!$AB$58="Baja",'Mapa final'!$AD$58="Leve"),CONCATENATE("R20C",'Mapa final'!$R$58),"")</f>
        <v/>
      </c>
      <c r="K175" s="54" t="str">
        <f>IF(AND('Mapa final'!$AB$59="Baja",'Mapa final'!$AD$59="Leve"),CONCATENATE("R20C",'Mapa final'!$R$59),"")</f>
        <v/>
      </c>
      <c r="L175" s="116" t="str">
        <f>IF(AND('Mapa final'!$AB$60="Baja",'Mapa final'!$AD$60="Leve"),CONCATENATE("R20C",'Mapa final'!$R$60),"")</f>
        <v/>
      </c>
      <c r="M175" s="49" t="str">
        <f>IF(AND('Mapa final'!$AB$58="Baja",'Mapa final'!$AD$58="Menor"),CONCATENATE("R20C",'Mapa final'!$R$58),"")</f>
        <v/>
      </c>
      <c r="N175" s="50" t="str">
        <f>IF(AND('Mapa final'!$AB$59="Baja",'Mapa final'!$AD$59="Menor"),CONCATENATE("R20C",'Mapa final'!$R$59),"")</f>
        <v/>
      </c>
      <c r="O175" s="111" t="str">
        <f>IF(AND('Mapa final'!$AB$60="Baja",'Mapa final'!$AD$60="Menor"),CONCATENATE("R20C",'Mapa final'!$R$60),"")</f>
        <v/>
      </c>
      <c r="P175" s="49" t="str">
        <f>IF(AND('Mapa final'!$AB$58="Baja",'Mapa final'!$AD$58="Moderado"),CONCATENATE("R20C",'Mapa final'!$R$58),"")</f>
        <v/>
      </c>
      <c r="Q175" s="50" t="str">
        <f>IF(AND('Mapa final'!$AB$59="Baja",'Mapa final'!$AD$59="Moderado"),CONCATENATE("R20C",'Mapa final'!$R$59),"")</f>
        <v/>
      </c>
      <c r="R175" s="111" t="str">
        <f>IF(AND('Mapa final'!$AB$60="Baja",'Mapa final'!$AD$60="Moderado"),CONCATENATE("R20C",'Mapa final'!$R$60),"")</f>
        <v/>
      </c>
      <c r="S175" s="105" t="str">
        <f>IF(AND('Mapa final'!$AB$58="Baja",'Mapa final'!$AD$58="Mayor"),CONCATENATE("R20C",'Mapa final'!$R$58),"")</f>
        <v>R20C1</v>
      </c>
      <c r="T175" s="42" t="str">
        <f>IF(AND('Mapa final'!$AB$59="Baja",'Mapa final'!$AD$59="Mayor"),CONCATENATE("R20C",'Mapa final'!$R$59),"")</f>
        <v/>
      </c>
      <c r="U175" s="106" t="str">
        <f>IF(AND('Mapa final'!$AB$60="Baja",'Mapa final'!$AD$60="Mayor"),CONCATENATE("R20C",'Mapa final'!$R$60),"")</f>
        <v/>
      </c>
      <c r="V175" s="43" t="str">
        <f>IF(AND('Mapa final'!$AB$58="Baja",'Mapa final'!$AD$58="Catastrófico"),CONCATENATE("R20C",'Mapa final'!$R$58),"")</f>
        <v/>
      </c>
      <c r="W175" s="44" t="str">
        <f>IF(AND('Mapa final'!$AB$59="Baja",'Mapa final'!$AD$59="Catastrófico"),CONCATENATE("R20C",'Mapa final'!$R$59),"")</f>
        <v/>
      </c>
      <c r="X175" s="100" t="str">
        <f>IF(AND('Mapa final'!$AB$60="Baja",'Mapa final'!$AD$60="Catastrófico"),CONCATENATE("R20C",'Mapa final'!$R$60),"")</f>
        <v/>
      </c>
      <c r="Y175" s="56"/>
      <c r="Z175" s="312"/>
      <c r="AA175" s="313"/>
      <c r="AB175" s="313"/>
      <c r="AC175" s="313"/>
      <c r="AD175" s="313"/>
      <c r="AE175" s="314"/>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row>
    <row r="176" spans="1:61" ht="15" customHeight="1" x14ac:dyDescent="0.35">
      <c r="A176" s="56"/>
      <c r="B176" s="307"/>
      <c r="C176" s="307"/>
      <c r="D176" s="308"/>
      <c r="E176" s="283"/>
      <c r="F176" s="279"/>
      <c r="G176" s="279"/>
      <c r="H176" s="279"/>
      <c r="I176" s="279"/>
      <c r="J176" s="115" t="str">
        <f>IF(AND('Mapa final'!$AB$61="Baja",'Mapa final'!$AD$61="Leve"),CONCATENATE("R21C",'Mapa final'!$R$61),"")</f>
        <v>R21C1</v>
      </c>
      <c r="K176" s="54" t="str">
        <f>IF(AND('Mapa final'!$AB$62="Baja",'Mapa final'!$AD$62="Leve"),CONCATENATE("R21C",'Mapa final'!$R$62),"")</f>
        <v/>
      </c>
      <c r="L176" s="116" t="str">
        <f>IF(AND('Mapa final'!$AB$63="Baja",'Mapa final'!$AD$63="Leve"),CONCATENATE("R21C",'Mapa final'!$R$63),"")</f>
        <v/>
      </c>
      <c r="M176" s="49" t="str">
        <f>IF(AND('Mapa final'!$AB$61="Baja",'Mapa final'!$AD$61="Menor"),CONCATENATE("R21C",'Mapa final'!$R$61),"")</f>
        <v/>
      </c>
      <c r="N176" s="50" t="str">
        <f>IF(AND('Mapa final'!$AB$62="Baja",'Mapa final'!$AD$62="Menor"),CONCATENATE("R21C",'Mapa final'!$R$62),"")</f>
        <v/>
      </c>
      <c r="O176" s="111" t="str">
        <f>IF(AND('Mapa final'!$AB$63="Baja",'Mapa final'!$AD$63="Menor"),CONCATENATE("R21C",'Mapa final'!$R$63),"")</f>
        <v/>
      </c>
      <c r="P176" s="49" t="str">
        <f>IF(AND('Mapa final'!$AB$61="Baja",'Mapa final'!$AD$61="Moderado"),CONCATENATE("R21C",'Mapa final'!$R$61),"")</f>
        <v/>
      </c>
      <c r="Q176" s="50" t="str">
        <f>IF(AND('Mapa final'!$AB$62="Baja",'Mapa final'!$AD$62="Moderado"),CONCATENATE("R21C",'Mapa final'!$R$62),"")</f>
        <v/>
      </c>
      <c r="R176" s="111" t="str">
        <f>IF(AND('Mapa final'!$AB$63="Baja",'Mapa final'!$AD$63="Moderado"),CONCATENATE("R21C",'Mapa final'!$R$63),"")</f>
        <v/>
      </c>
      <c r="S176" s="105" t="str">
        <f>IF(AND('Mapa final'!$AB$61="Baja",'Mapa final'!$AD$61="Mayor"),CONCATENATE("R21C",'Mapa final'!$R$61),"")</f>
        <v/>
      </c>
      <c r="T176" s="42" t="str">
        <f>IF(AND('Mapa final'!$AB$62="Baja",'Mapa final'!$AD$62="Mayor"),CONCATENATE("R21C",'Mapa final'!$R$62),"")</f>
        <v/>
      </c>
      <c r="U176" s="106" t="str">
        <f>IF(AND('Mapa final'!$AB$63="Baja",'Mapa final'!$AD$63="Mayor"),CONCATENATE("R21C",'Mapa final'!$R$63),"")</f>
        <v/>
      </c>
      <c r="V176" s="43" t="str">
        <f>IF(AND('Mapa final'!$AB$61="Baja",'Mapa final'!$AD$61="Catastrófico"),CONCATENATE("R21C",'Mapa final'!$R$61),"")</f>
        <v/>
      </c>
      <c r="W176" s="44" t="str">
        <f>IF(AND('Mapa final'!$AB$62="Baja",'Mapa final'!$AD$62="Catastrófico"),CONCATENATE("R21C",'Mapa final'!$R$62),"")</f>
        <v/>
      </c>
      <c r="X176" s="100" t="str">
        <f>IF(AND('Mapa final'!$AB$63="Baja",'Mapa final'!$AD$63="Catastrófico"),CONCATENATE("R21C",'Mapa final'!$R$63),"")</f>
        <v/>
      </c>
      <c r="Y176" s="56"/>
      <c r="Z176" s="312"/>
      <c r="AA176" s="313"/>
      <c r="AB176" s="313"/>
      <c r="AC176" s="313"/>
      <c r="AD176" s="313"/>
      <c r="AE176" s="314"/>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row>
    <row r="177" spans="1:61" ht="15" customHeight="1" x14ac:dyDescent="0.35">
      <c r="A177" s="56"/>
      <c r="B177" s="307"/>
      <c r="C177" s="307"/>
      <c r="D177" s="308"/>
      <c r="E177" s="283"/>
      <c r="F177" s="279"/>
      <c r="G177" s="279"/>
      <c r="H177" s="279"/>
      <c r="I177" s="279"/>
      <c r="J177" s="115" t="str">
        <f>IF(AND('Mapa final'!$AB$64="Baja",'Mapa final'!$AD$64="Leve"),CONCATENATE("R22C",'Mapa final'!$R$64),"")</f>
        <v/>
      </c>
      <c r="K177" s="54" t="str">
        <f>IF(AND('Mapa final'!$AB$65="Baja",'Mapa final'!$AD$65="Leve"),CONCATENATE("R22C",'Mapa final'!$R$65),"")</f>
        <v/>
      </c>
      <c r="L177" s="116" t="str">
        <f>IF(AND('Mapa final'!$AB$66="Baja",'Mapa final'!$AD$66="Leve"),CONCATENATE("R22C",'Mapa final'!$R$66),"")</f>
        <v/>
      </c>
      <c r="M177" s="49" t="str">
        <f>IF(AND('Mapa final'!$AB$64="Baja",'Mapa final'!$AD$64="Menor"),CONCATENATE("R22C",'Mapa final'!$R$64),"")</f>
        <v>R22C1</v>
      </c>
      <c r="N177" s="50" t="str">
        <f>IF(AND('Mapa final'!$AB$65="Baja",'Mapa final'!$AD$65="Menor"),CONCATENATE("R22C",'Mapa final'!$R$65),"")</f>
        <v/>
      </c>
      <c r="O177" s="111" t="str">
        <f>IF(AND('Mapa final'!$AB$66="Baja",'Mapa final'!$AD$66="Menor"),CONCATENATE("R22C",'Mapa final'!$R$66),"")</f>
        <v/>
      </c>
      <c r="P177" s="49" t="str">
        <f>IF(AND('Mapa final'!$AB$64="Baja",'Mapa final'!$AD$64="Moderado"),CONCATENATE("R22C",'Mapa final'!$R$64),"")</f>
        <v/>
      </c>
      <c r="Q177" s="50" t="str">
        <f>IF(AND('Mapa final'!$AB$65="Baja",'Mapa final'!$AD$65="Moderado"),CONCATENATE("R22C",'Mapa final'!$R$65),"")</f>
        <v/>
      </c>
      <c r="R177" s="111" t="str">
        <f>IF(AND('Mapa final'!$AB$66="Baja",'Mapa final'!$AD$66="Moderado"),CONCATENATE("R22C",'Mapa final'!$R$66),"")</f>
        <v/>
      </c>
      <c r="S177" s="105" t="str">
        <f>IF(AND('Mapa final'!$AB$64="Baja",'Mapa final'!$AD$64="Mayor"),CONCATENATE("R22C",'Mapa final'!$R$64),"")</f>
        <v/>
      </c>
      <c r="T177" s="42" t="str">
        <f>IF(AND('Mapa final'!$AB$65="Baja",'Mapa final'!$AD$65="Mayor"),CONCATENATE("R22C",'Mapa final'!$R$65),"")</f>
        <v/>
      </c>
      <c r="U177" s="106" t="str">
        <f>IF(AND('Mapa final'!$AB$66="Baja",'Mapa final'!$AD$66="Mayor"),CONCATENATE("R22C",'Mapa final'!$R$66),"")</f>
        <v/>
      </c>
      <c r="V177" s="43" t="str">
        <f>IF(AND('Mapa final'!$AB$64="Baja",'Mapa final'!$AD$64="Catastrófico"),CONCATENATE("R22C",'Mapa final'!$R$64),"")</f>
        <v/>
      </c>
      <c r="W177" s="44" t="str">
        <f>IF(AND('Mapa final'!$AB$65="Baja",'Mapa final'!$AD$65="Catastrófico"),CONCATENATE("R22C",'Mapa final'!$R$65),"")</f>
        <v/>
      </c>
      <c r="X177" s="100" t="str">
        <f>IF(AND('Mapa final'!$AB$66="Baja",'Mapa final'!$AD$66="Catastrófico"),CONCATENATE("R22C",'Mapa final'!$R$66),"")</f>
        <v/>
      </c>
      <c r="Y177" s="56"/>
      <c r="Z177" s="312"/>
      <c r="AA177" s="313"/>
      <c r="AB177" s="313"/>
      <c r="AC177" s="313"/>
      <c r="AD177" s="313"/>
      <c r="AE177" s="314"/>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row>
    <row r="178" spans="1:61" ht="15" customHeight="1" x14ac:dyDescent="0.35">
      <c r="A178" s="56"/>
      <c r="B178" s="307"/>
      <c r="C178" s="307"/>
      <c r="D178" s="308"/>
      <c r="E178" s="283"/>
      <c r="F178" s="279"/>
      <c r="G178" s="279"/>
      <c r="H178" s="279"/>
      <c r="I178" s="279"/>
      <c r="J178" s="115" t="str">
        <f>IF(AND('Mapa final'!$AB$70="Baja",'Mapa final'!$AD$70="Leve"),CONCATENATE("R23C",'Mapa final'!$R$70),"")</f>
        <v/>
      </c>
      <c r="K178" s="54" t="str">
        <f>IF(AND('Mapa final'!$AB$71="Baja",'Mapa final'!$AD$71="Leve"),CONCATENATE("R23C",'Mapa final'!$R$71),"")</f>
        <v/>
      </c>
      <c r="L178" s="116" t="str">
        <f>IF(AND('Mapa final'!$AB$72="Baja",'Mapa final'!$AD$72="Leve"),CONCATENATE("R23C",'Mapa final'!$R$72),"")</f>
        <v/>
      </c>
      <c r="M178" s="49" t="str">
        <f>IF(AND('Mapa final'!$AB$70="Baja",'Mapa final'!$AD$70="Menor"),CONCATENATE("R23C",'Mapa final'!$R$70),"")</f>
        <v/>
      </c>
      <c r="N178" s="50" t="str">
        <f>IF(AND('Mapa final'!$AB$71="Baja",'Mapa final'!$AD$71="Menor"),CONCATENATE("R23C",'Mapa final'!$R$71),"")</f>
        <v/>
      </c>
      <c r="O178" s="111" t="str">
        <f>IF(AND('Mapa final'!$AB$72="Baja",'Mapa final'!$AD$72="Menor"),CONCATENATE("R23C",'Mapa final'!$R$72),"")</f>
        <v/>
      </c>
      <c r="P178" s="49" t="str">
        <f>IF(AND('Mapa final'!$AB$70="Baja",'Mapa final'!$AD$70="Moderado"),CONCATENATE("R23C",'Mapa final'!$R$70),"")</f>
        <v/>
      </c>
      <c r="Q178" s="50" t="str">
        <f>IF(AND('Mapa final'!$AB$71="Baja",'Mapa final'!$AD$71="Moderado"),CONCATENATE("R23C",'Mapa final'!$R$71),"")</f>
        <v/>
      </c>
      <c r="R178" s="111" t="str">
        <f>IF(AND('Mapa final'!$AB$72="Baja",'Mapa final'!$AD$72="Moderado"),CONCATENATE("R23C",'Mapa final'!$R$72),"")</f>
        <v/>
      </c>
      <c r="S178" s="105" t="str">
        <f>IF(AND('Mapa final'!$AB$70="Baja",'Mapa final'!$AD$70="Mayor"),CONCATENATE("R23C",'Mapa final'!$R$70),"")</f>
        <v>R23C1</v>
      </c>
      <c r="T178" s="42" t="str">
        <f>IF(AND('Mapa final'!$AB$71="Baja",'Mapa final'!$AD$71="Mayor"),CONCATENATE("R23C",'Mapa final'!$R$71),"")</f>
        <v/>
      </c>
      <c r="U178" s="106" t="str">
        <f>IF(AND('Mapa final'!$AB$72="Baja",'Mapa final'!$AD$72="Mayor"),CONCATENATE("R23C",'Mapa final'!$R$72),"")</f>
        <v/>
      </c>
      <c r="V178" s="43" t="str">
        <f>IF(AND('Mapa final'!$AB$70="Baja",'Mapa final'!$AD$70="Catastrófico"),CONCATENATE("R23C",'Mapa final'!$R$70),"")</f>
        <v/>
      </c>
      <c r="W178" s="44" t="str">
        <f>IF(AND('Mapa final'!$AB$71="Baja",'Mapa final'!$AD$71="Catastrófico"),CONCATENATE("R23C",'Mapa final'!$R$71),"")</f>
        <v/>
      </c>
      <c r="X178" s="100" t="str">
        <f>IF(AND('Mapa final'!$AB$72="Baja",'Mapa final'!$AD$72="Catastrófico"),CONCATENATE("R23C",'Mapa final'!$R$72),"")</f>
        <v/>
      </c>
      <c r="Y178" s="56"/>
      <c r="Z178" s="312"/>
      <c r="AA178" s="313"/>
      <c r="AB178" s="313"/>
      <c r="AC178" s="313"/>
      <c r="AD178" s="313"/>
      <c r="AE178" s="314"/>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row>
    <row r="179" spans="1:61" ht="15" customHeight="1" x14ac:dyDescent="0.35">
      <c r="A179" s="56"/>
      <c r="B179" s="307"/>
      <c r="C179" s="307"/>
      <c r="D179" s="308"/>
      <c r="E179" s="283"/>
      <c r="F179" s="279"/>
      <c r="G179" s="279"/>
      <c r="H179" s="279"/>
      <c r="I179" s="279"/>
      <c r="J179" s="115" t="str">
        <f>IF(AND('Mapa final'!$AB$73="Baja",'Mapa final'!$AD$73="Leve"),CONCATENATE("R24C",'Mapa final'!$R$73),"")</f>
        <v/>
      </c>
      <c r="K179" s="54" t="str">
        <f>IF(AND('Mapa final'!$AB$74="Baja",'Mapa final'!$AD$74="Leve"),CONCATENATE("R24C",'Mapa final'!$R$74),"")</f>
        <v/>
      </c>
      <c r="L179" s="116" t="str">
        <f>IF(AND('Mapa final'!$AB$75="Baja",'Mapa final'!$AD$75="Leve"),CONCATENATE("R24C",'Mapa final'!$R$75),"")</f>
        <v/>
      </c>
      <c r="M179" s="49" t="str">
        <f>IF(AND('Mapa final'!$AB$73="Baja",'Mapa final'!$AD$73="Menor"),CONCATENATE("R24C",'Mapa final'!$R$73),"")</f>
        <v/>
      </c>
      <c r="N179" s="50" t="str">
        <f>IF(AND('Mapa final'!$AB$74="Baja",'Mapa final'!$AD$74="Menor"),CONCATENATE("R24C",'Mapa final'!$R$74),"")</f>
        <v/>
      </c>
      <c r="O179" s="111" t="str">
        <f>IF(AND('Mapa final'!$AB$75="Baja",'Mapa final'!$AD$75="Menor"),CONCATENATE("R24C",'Mapa final'!$R$75),"")</f>
        <v/>
      </c>
      <c r="P179" s="49" t="str">
        <f>IF(AND('Mapa final'!$AB$73="Baja",'Mapa final'!$AD$73="Moderado"),CONCATENATE("R24C",'Mapa final'!$R$73),"")</f>
        <v>R24C1</v>
      </c>
      <c r="Q179" s="50" t="str">
        <f>IF(AND('Mapa final'!$AB$74="Baja",'Mapa final'!$AD$74="Moderado"),CONCATENATE("R24C",'Mapa final'!$R$74),"")</f>
        <v/>
      </c>
      <c r="R179" s="111" t="str">
        <f>IF(AND('Mapa final'!$AB$75="Baja",'Mapa final'!$AD$75="Moderado"),CONCATENATE("R24C",'Mapa final'!$R$75),"")</f>
        <v/>
      </c>
      <c r="S179" s="105" t="str">
        <f>IF(AND('Mapa final'!$AB$73="Baja",'Mapa final'!$AD$73="Mayor"),CONCATENATE("R24C",'Mapa final'!$R$73),"")</f>
        <v/>
      </c>
      <c r="T179" s="42" t="str">
        <f>IF(AND('Mapa final'!$AB$74="Baja",'Mapa final'!$AD$74="Mayor"),CONCATENATE("R24C",'Mapa final'!$R$74),"")</f>
        <v/>
      </c>
      <c r="U179" s="106" t="str">
        <f>IF(AND('Mapa final'!$AB$75="Baja",'Mapa final'!$AD$75="Mayor"),CONCATENATE("R24C",'Mapa final'!$R$75),"")</f>
        <v/>
      </c>
      <c r="V179" s="43" t="str">
        <f>IF(AND('Mapa final'!$AB$73="Baja",'Mapa final'!$AD$73="Catastrófico"),CONCATENATE("R24C",'Mapa final'!$R$73),"")</f>
        <v/>
      </c>
      <c r="W179" s="44" t="str">
        <f>IF(AND('Mapa final'!$AB$74="Baja",'Mapa final'!$AD$74="Catastrófico"),CONCATENATE("R24C",'Mapa final'!$R$74),"")</f>
        <v/>
      </c>
      <c r="X179" s="100" t="str">
        <f>IF(AND('Mapa final'!$AB$75="Baja",'Mapa final'!$AD$75="Catastrófico"),CONCATENATE("R24C",'Mapa final'!$R$75),"")</f>
        <v/>
      </c>
      <c r="Y179" s="56"/>
      <c r="Z179" s="312"/>
      <c r="AA179" s="313"/>
      <c r="AB179" s="313"/>
      <c r="AC179" s="313"/>
      <c r="AD179" s="313"/>
      <c r="AE179" s="314"/>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row>
    <row r="180" spans="1:61" ht="15" customHeight="1" x14ac:dyDescent="0.35">
      <c r="A180" s="56"/>
      <c r="B180" s="307"/>
      <c r="C180" s="307"/>
      <c r="D180" s="308"/>
      <c r="E180" s="283"/>
      <c r="F180" s="279"/>
      <c r="G180" s="279"/>
      <c r="H180" s="279"/>
      <c r="I180" s="279"/>
      <c r="J180" s="115" t="str">
        <f>IF(AND('Mapa final'!$AB$76="Baja",'Mapa final'!$AD$76="Leve"),CONCATENATE("R25C",'Mapa final'!$R$76),"")</f>
        <v/>
      </c>
      <c r="K180" s="54" t="str">
        <f>IF(AND('Mapa final'!$AB$77="Baja",'Mapa final'!$AD$77="Leve"),CONCATENATE("R25C",'Mapa final'!$R$77),"")</f>
        <v/>
      </c>
      <c r="L180" s="116" t="str">
        <f>IF(AND('Mapa final'!$AB$78="Baja",'Mapa final'!$AD$78="Leve"),CONCATENATE("R25C",'Mapa final'!$R$78),"")</f>
        <v/>
      </c>
      <c r="M180" s="49" t="str">
        <f>IF(AND('Mapa final'!$AB$76="Baja",'Mapa final'!$AD$76="Menor"),CONCATENATE("R25C",'Mapa final'!$R$76),"")</f>
        <v/>
      </c>
      <c r="N180" s="50" t="str">
        <f>IF(AND('Mapa final'!$AB$77="Baja",'Mapa final'!$AD$77="Menor"),CONCATENATE("R25C",'Mapa final'!$R$77),"")</f>
        <v/>
      </c>
      <c r="O180" s="111" t="str">
        <f>IF(AND('Mapa final'!$AB$78="Baja",'Mapa final'!$AD$78="Menor"),CONCATENATE("R25C",'Mapa final'!$R$78),"")</f>
        <v/>
      </c>
      <c r="P180" s="49" t="str">
        <f>IF(AND('Mapa final'!$AB$76="Baja",'Mapa final'!$AD$76="Moderado"),CONCATENATE("R25C",'Mapa final'!$R$76),"")</f>
        <v>R25C1</v>
      </c>
      <c r="Q180" s="50" t="str">
        <f>IF(AND('Mapa final'!$AB$77="Baja",'Mapa final'!$AD$77="Moderado"),CONCATENATE("R25C",'Mapa final'!$R$77),"")</f>
        <v/>
      </c>
      <c r="R180" s="111" t="str">
        <f>IF(AND('Mapa final'!$AB$78="Baja",'Mapa final'!$AD$78="Moderado"),CONCATENATE("R25C",'Mapa final'!$R$78),"")</f>
        <v/>
      </c>
      <c r="S180" s="105" t="str">
        <f>IF(AND('Mapa final'!$AB$76="Baja",'Mapa final'!$AD$76="Mayor"),CONCATENATE("R25C",'Mapa final'!$R$76),"")</f>
        <v/>
      </c>
      <c r="T180" s="42" t="str">
        <f>IF(AND('Mapa final'!$AB$77="Baja",'Mapa final'!$AD$77="Mayor"),CONCATENATE("R25C",'Mapa final'!$R$77),"")</f>
        <v/>
      </c>
      <c r="U180" s="106" t="str">
        <f>IF(AND('Mapa final'!$AB$78="Baja",'Mapa final'!$AD$78="Mayor"),CONCATENATE("R25C",'Mapa final'!$R$78),"")</f>
        <v/>
      </c>
      <c r="V180" s="43" t="str">
        <f>IF(AND('Mapa final'!$AB$76="Baja",'Mapa final'!$AD$76="Catastrófico"),CONCATENATE("R25C",'Mapa final'!$R$76),"")</f>
        <v/>
      </c>
      <c r="W180" s="44" t="str">
        <f>IF(AND('Mapa final'!$AB$77="Baja",'Mapa final'!$AD$77="Catastrófico"),CONCATENATE("R25C",'Mapa final'!$R$77),"")</f>
        <v/>
      </c>
      <c r="X180" s="100" t="str">
        <f>IF(AND('Mapa final'!$AB$78="Baja",'Mapa final'!$AD$78="Catastrófico"),CONCATENATE("R25C",'Mapa final'!$R$78),"")</f>
        <v/>
      </c>
      <c r="Y180" s="56"/>
      <c r="Z180" s="312"/>
      <c r="AA180" s="313"/>
      <c r="AB180" s="313"/>
      <c r="AC180" s="313"/>
      <c r="AD180" s="313"/>
      <c r="AE180" s="314"/>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row>
    <row r="181" spans="1:61" ht="15" customHeight="1" x14ac:dyDescent="0.35">
      <c r="A181" s="56"/>
      <c r="B181" s="307"/>
      <c r="C181" s="307"/>
      <c r="D181" s="308"/>
      <c r="E181" s="283"/>
      <c r="F181" s="279"/>
      <c r="G181" s="279"/>
      <c r="H181" s="279"/>
      <c r="I181" s="279"/>
      <c r="J181" s="115" t="str">
        <f>IF(AND('Mapa final'!$AB$79="Baja",'Mapa final'!$AD$79="Leve"),CONCATENATE("R26C",'Mapa final'!$R$79),"")</f>
        <v/>
      </c>
      <c r="K181" s="54" t="str">
        <f>IF(AND('Mapa final'!$AB$80="Baja",'Mapa final'!$AD$80="Leve"),CONCATENATE("R26C",'Mapa final'!$R$80),"")</f>
        <v/>
      </c>
      <c r="L181" s="116" t="str">
        <f>IF(AND('Mapa final'!$AB$81="Baja",'Mapa final'!$AD$81="Leve"),CONCATENATE("R26C",'Mapa final'!$R$81),"")</f>
        <v/>
      </c>
      <c r="M181" s="49" t="str">
        <f>IF(AND('Mapa final'!$AB$79="Baja",'Mapa final'!$AD$79="Menor"),CONCATENATE("R26C",'Mapa final'!$R$79),"")</f>
        <v/>
      </c>
      <c r="N181" s="50" t="str">
        <f>IF(AND('Mapa final'!$AB$80="Baja",'Mapa final'!$AD$80="Menor"),CONCATENATE("R26C",'Mapa final'!$R$80),"")</f>
        <v/>
      </c>
      <c r="O181" s="111" t="str">
        <f>IF(AND('Mapa final'!$AB$81="Baja",'Mapa final'!$AD$81="Menor"),CONCATENATE("R26C",'Mapa final'!$R$81),"")</f>
        <v/>
      </c>
      <c r="P181" s="49" t="str">
        <f>IF(AND('Mapa final'!$AB$79="Baja",'Mapa final'!$AD$79="Moderado"),CONCATENATE("R26C",'Mapa final'!$R$79),"")</f>
        <v/>
      </c>
      <c r="Q181" s="50" t="str">
        <f>IF(AND('Mapa final'!$AB$80="Baja",'Mapa final'!$AD$80="Moderado"),CONCATENATE("R26C",'Mapa final'!$R$80),"")</f>
        <v/>
      </c>
      <c r="R181" s="111" t="str">
        <f>IF(AND('Mapa final'!$AB$81="Baja",'Mapa final'!$AD$81="Moderado"),CONCATENATE("R26C",'Mapa final'!$R$81),"")</f>
        <v/>
      </c>
      <c r="S181" s="105" t="str">
        <f>IF(AND('Mapa final'!$AB$79="Baja",'Mapa final'!$AD$79="Mayor"),CONCATENATE("R26C",'Mapa final'!$R$79),"")</f>
        <v/>
      </c>
      <c r="T181" s="42" t="str">
        <f>IF(AND('Mapa final'!$AB$80="Baja",'Mapa final'!$AD$80="Mayor"),CONCATENATE("R26C",'Mapa final'!$R$80),"")</f>
        <v/>
      </c>
      <c r="U181" s="106" t="str">
        <f>IF(AND('Mapa final'!$AB$81="Baja",'Mapa final'!$AD$81="Mayor"),CONCATENATE("R26C",'Mapa final'!$R$81),"")</f>
        <v/>
      </c>
      <c r="V181" s="43" t="str">
        <f>IF(AND('Mapa final'!$AB$79="Baja",'Mapa final'!$AD$79="Catastrófico"),CONCATENATE("R26C",'Mapa final'!$R$79),"")</f>
        <v/>
      </c>
      <c r="W181" s="44" t="str">
        <f>IF(AND('Mapa final'!$AB$80="Baja",'Mapa final'!$AD$80="Catastrófico"),CONCATENATE("R26C",'Mapa final'!$R$80),"")</f>
        <v/>
      </c>
      <c r="X181" s="100" t="str">
        <f>IF(AND('Mapa final'!$AB$81="Baja",'Mapa final'!$AD$81="Catastrófico"),CONCATENATE("R26C",'Mapa final'!$R$81),"")</f>
        <v/>
      </c>
      <c r="Y181" s="56"/>
      <c r="Z181" s="312"/>
      <c r="AA181" s="313"/>
      <c r="AB181" s="313"/>
      <c r="AC181" s="313"/>
      <c r="AD181" s="313"/>
      <c r="AE181" s="314"/>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row>
    <row r="182" spans="1:61" ht="15" customHeight="1" x14ac:dyDescent="0.35">
      <c r="A182" s="56"/>
      <c r="B182" s="307"/>
      <c r="C182" s="307"/>
      <c r="D182" s="308"/>
      <c r="E182" s="283"/>
      <c r="F182" s="279"/>
      <c r="G182" s="279"/>
      <c r="H182" s="279"/>
      <c r="I182" s="279"/>
      <c r="J182" s="115" t="str">
        <f>IF(AND('Mapa final'!$AB$82="Baja",'Mapa final'!$AD$82="Leve"),CONCATENATE("R27C",'Mapa final'!$R$82),"")</f>
        <v/>
      </c>
      <c r="K182" s="54" t="str">
        <f>IF(AND('Mapa final'!$AB$83="Baja",'Mapa final'!$AD$83="Leve"),CONCATENATE("R27C",'Mapa final'!$R$83),"")</f>
        <v/>
      </c>
      <c r="L182" s="116" t="str">
        <f>IF(AND('Mapa final'!$AB$84="Baja",'Mapa final'!$AD$84="Leve"),CONCATENATE("R27C",'Mapa final'!$R$84),"")</f>
        <v/>
      </c>
      <c r="M182" s="49" t="str">
        <f>IF(AND('Mapa final'!$AB$82="Baja",'Mapa final'!$AD$82="Menor"),CONCATENATE("R27C",'Mapa final'!$R$82),"")</f>
        <v/>
      </c>
      <c r="N182" s="50" t="str">
        <f>IF(AND('Mapa final'!$AB$83="Baja",'Mapa final'!$AD$83="Menor"),CONCATENATE("R27C",'Mapa final'!$R$83),"")</f>
        <v/>
      </c>
      <c r="O182" s="111" t="str">
        <f>IF(AND('Mapa final'!$AB$84="Baja",'Mapa final'!$AD$84="Menor"),CONCATENATE("R27C",'Mapa final'!$R$84),"")</f>
        <v/>
      </c>
      <c r="P182" s="49" t="str">
        <f>IF(AND('Mapa final'!$AB$82="Baja",'Mapa final'!$AD$82="Moderado"),CONCATENATE("R27C",'Mapa final'!$R$82),"")</f>
        <v>R27C1</v>
      </c>
      <c r="Q182" s="50" t="str">
        <f>IF(AND('Mapa final'!$AB$83="Baja",'Mapa final'!$AD$83="Moderado"),CONCATENATE("R27C",'Mapa final'!$R$83),"")</f>
        <v/>
      </c>
      <c r="R182" s="111" t="str">
        <f>IF(AND('Mapa final'!$AB$84="Baja",'Mapa final'!$AD$84="Moderado"),CONCATENATE("R27C",'Mapa final'!$R$84),"")</f>
        <v/>
      </c>
      <c r="S182" s="105" t="str">
        <f>IF(AND('Mapa final'!$AB$82="Baja",'Mapa final'!$AD$82="Mayor"),CONCATENATE("R27C",'Mapa final'!$R$82),"")</f>
        <v/>
      </c>
      <c r="T182" s="42" t="str">
        <f>IF(AND('Mapa final'!$AB$83="Baja",'Mapa final'!$AD$83="Mayor"),CONCATENATE("R27C",'Mapa final'!$R$83),"")</f>
        <v/>
      </c>
      <c r="U182" s="106" t="str">
        <f>IF(AND('Mapa final'!$AB$84="Baja",'Mapa final'!$AD$84="Mayor"),CONCATENATE("R27C",'Mapa final'!$R$84),"")</f>
        <v/>
      </c>
      <c r="V182" s="43" t="str">
        <f>IF(AND('Mapa final'!$AB$82="Baja",'Mapa final'!$AD$82="Catastrófico"),CONCATENATE("R27C",'Mapa final'!$R$82),"")</f>
        <v/>
      </c>
      <c r="W182" s="44" t="str">
        <f>IF(AND('Mapa final'!$AB$83="Baja",'Mapa final'!$AD$83="Catastrófico"),CONCATENATE("R27C",'Mapa final'!$R$83),"")</f>
        <v/>
      </c>
      <c r="X182" s="100" t="str">
        <f>IF(AND('Mapa final'!$AB$84="Baja",'Mapa final'!$AD$84="Catastrófico"),CONCATENATE("R27C",'Mapa final'!$R$84),"")</f>
        <v/>
      </c>
      <c r="Y182" s="56"/>
      <c r="Z182" s="312"/>
      <c r="AA182" s="313"/>
      <c r="AB182" s="313"/>
      <c r="AC182" s="313"/>
      <c r="AD182" s="313"/>
      <c r="AE182" s="314"/>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row>
    <row r="183" spans="1:61" ht="15" customHeight="1" x14ac:dyDescent="0.35">
      <c r="A183" s="56"/>
      <c r="B183" s="307"/>
      <c r="C183" s="307"/>
      <c r="D183" s="308"/>
      <c r="E183" s="283"/>
      <c r="F183" s="279"/>
      <c r="G183" s="279"/>
      <c r="H183" s="279"/>
      <c r="I183" s="279"/>
      <c r="J183" s="115" t="str">
        <f>IF(AND('Mapa final'!$AB$85="Baja",'Mapa final'!$AD$85="Leve"),CONCATENATE("R28C",'Mapa final'!$R$85),"")</f>
        <v/>
      </c>
      <c r="K183" s="54" t="str">
        <f>IF(AND('Mapa final'!$AB$86="Baja",'Mapa final'!$AD$86="Leve"),CONCATENATE("R28C",'Mapa final'!$R$86),"")</f>
        <v/>
      </c>
      <c r="L183" s="116" t="str">
        <f>IF(AND('Mapa final'!$AB$87="Baja",'Mapa final'!$AD$87="Leve"),CONCATENATE("R28C",'Mapa final'!$R$87),"")</f>
        <v/>
      </c>
      <c r="M183" s="49" t="str">
        <f>IF(AND('Mapa final'!$AB$85="Baja",'Mapa final'!$AD$85="Menor"),CONCATENATE("R28C",'Mapa final'!$R$85),"")</f>
        <v/>
      </c>
      <c r="N183" s="50" t="str">
        <f>IF(AND('Mapa final'!$AB$86="Baja",'Mapa final'!$AD$86="Menor"),CONCATENATE("R28C",'Mapa final'!$R$86),"")</f>
        <v/>
      </c>
      <c r="O183" s="111" t="str">
        <f>IF(AND('Mapa final'!$AB$87="Baja",'Mapa final'!$AD$87="Menor"),CONCATENATE("R28C",'Mapa final'!$R$87),"")</f>
        <v/>
      </c>
      <c r="P183" s="49" t="str">
        <f>IF(AND('Mapa final'!$AB$85="Baja",'Mapa final'!$AD$85="Moderado"),CONCATENATE("R28C",'Mapa final'!$R$85),"")</f>
        <v/>
      </c>
      <c r="Q183" s="50" t="str">
        <f>IF(AND('Mapa final'!$AB$86="Baja",'Mapa final'!$AD$86="Moderado"),CONCATENATE("R28C",'Mapa final'!$R$86),"")</f>
        <v/>
      </c>
      <c r="R183" s="111" t="str">
        <f>IF(AND('Mapa final'!$AB$87="Baja",'Mapa final'!$AD$87="Moderado"),CONCATENATE("R28C",'Mapa final'!$R$87),"")</f>
        <v/>
      </c>
      <c r="S183" s="105" t="str">
        <f>IF(AND('Mapa final'!$AB$85="Baja",'Mapa final'!$AD$85="Mayor"),CONCATENATE("R28C",'Mapa final'!$R$85),"")</f>
        <v>R28C1</v>
      </c>
      <c r="T183" s="42" t="str">
        <f>IF(AND('Mapa final'!$AB$86="Baja",'Mapa final'!$AD$86="Mayor"),CONCATENATE("R28C",'Mapa final'!$R$86),"")</f>
        <v/>
      </c>
      <c r="U183" s="106" t="str">
        <f>IF(AND('Mapa final'!$AB$87="Baja",'Mapa final'!$AD$87="Mayor"),CONCATENATE("R28C",'Mapa final'!$R$87),"")</f>
        <v/>
      </c>
      <c r="V183" s="43" t="str">
        <f>IF(AND('Mapa final'!$AB$85="Baja",'Mapa final'!$AD$85="Catastrófico"),CONCATENATE("R28C",'Mapa final'!$R$85),"")</f>
        <v/>
      </c>
      <c r="W183" s="44" t="str">
        <f>IF(AND('Mapa final'!$AB$86="Baja",'Mapa final'!$AD$86="Catastrófico"),CONCATENATE("R28C",'Mapa final'!$R$86),"")</f>
        <v/>
      </c>
      <c r="X183" s="100" t="str">
        <f>IF(AND('Mapa final'!$AB$87="Baja",'Mapa final'!$AD$87="Catastrófico"),CONCATENATE("R28C",'Mapa final'!$R$87),"")</f>
        <v/>
      </c>
      <c r="Y183" s="56"/>
      <c r="Z183" s="312"/>
      <c r="AA183" s="313"/>
      <c r="AB183" s="313"/>
      <c r="AC183" s="313"/>
      <c r="AD183" s="313"/>
      <c r="AE183" s="314"/>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row>
    <row r="184" spans="1:61" ht="15" customHeight="1" x14ac:dyDescent="0.35">
      <c r="A184" s="56"/>
      <c r="B184" s="307"/>
      <c r="C184" s="307"/>
      <c r="D184" s="308"/>
      <c r="E184" s="284"/>
      <c r="F184" s="297"/>
      <c r="G184" s="297"/>
      <c r="H184" s="297"/>
      <c r="I184" s="279"/>
      <c r="J184" s="115" t="str">
        <f>IF(AND('Mapa final'!$AB$88="Baja",'Mapa final'!$AD$88="Leve"),CONCATENATE("R29C",'Mapa final'!$R$88),"")</f>
        <v/>
      </c>
      <c r="K184" s="54" t="str">
        <f>IF(AND('Mapa final'!$AB$89="Baja",'Mapa final'!$AD$89="Leve"),CONCATENATE("R29C",'Mapa final'!$R$89),"")</f>
        <v/>
      </c>
      <c r="L184" s="116" t="str">
        <f>IF(AND('Mapa final'!$AB$90="Baja",'Mapa final'!$AD$90="Leve"),CONCATENATE("R29C",'Mapa final'!$R$90),"")</f>
        <v/>
      </c>
      <c r="M184" s="49" t="str">
        <f>IF(AND('Mapa final'!$AB$88="Baja",'Mapa final'!$AD$88="Menor"),CONCATENATE("R29C",'Mapa final'!$R$88),"")</f>
        <v/>
      </c>
      <c r="N184" s="50" t="str">
        <f>IF(AND('Mapa final'!$AB$89="Baja",'Mapa final'!$AD$89="Menor"),CONCATENATE("R29C",'Mapa final'!$R$89),"")</f>
        <v/>
      </c>
      <c r="O184" s="111" t="str">
        <f>IF(AND('Mapa final'!$AB$90="Baja",'Mapa final'!$AD$90="Menor"),CONCATENATE("R29C",'Mapa final'!$R$90),"")</f>
        <v/>
      </c>
      <c r="P184" s="49" t="str">
        <f>IF(AND('Mapa final'!$AB$88="Baja",'Mapa final'!$AD$88="Moderado"),CONCATENATE("R29C",'Mapa final'!$R$88),"")</f>
        <v/>
      </c>
      <c r="Q184" s="50" t="str">
        <f>IF(AND('Mapa final'!$AB$89="Baja",'Mapa final'!$AD$89="Moderado"),CONCATENATE("R29C",'Mapa final'!$R$89),"")</f>
        <v/>
      </c>
      <c r="R184" s="111" t="str">
        <f>IF(AND('Mapa final'!$AB$90="Baja",'Mapa final'!$AD$90="Moderado"),CONCATENATE("R29C",'Mapa final'!$R$90),"")</f>
        <v/>
      </c>
      <c r="S184" s="105" t="str">
        <f>IF(AND('Mapa final'!$AB$88="Baja",'Mapa final'!$AD$88="Mayor"),CONCATENATE("R29C",'Mapa final'!$R$88),"")</f>
        <v>R29C1</v>
      </c>
      <c r="T184" s="42" t="str">
        <f>IF(AND('Mapa final'!$AB$89="Baja",'Mapa final'!$AD$89="Mayor"),CONCATENATE("R29C",'Mapa final'!$R$89),"")</f>
        <v/>
      </c>
      <c r="U184" s="106" t="str">
        <f>IF(AND('Mapa final'!$AB$90="Baja",'Mapa final'!$AD$90="Mayor"),CONCATENATE("R29C",'Mapa final'!$R$90),"")</f>
        <v/>
      </c>
      <c r="V184" s="43" t="str">
        <f>IF(AND('Mapa final'!$AB$88="Baja",'Mapa final'!$AD$88="Catastrófico"),CONCATENATE("R29C",'Mapa final'!$R$88),"")</f>
        <v/>
      </c>
      <c r="W184" s="44" t="str">
        <f>IF(AND('Mapa final'!$AB$89="Baja",'Mapa final'!$AD$89="Catastrófico"),CONCATENATE("R29C",'Mapa final'!$R$89),"")</f>
        <v/>
      </c>
      <c r="X184" s="100" t="str">
        <f>IF(AND('Mapa final'!$AB$90="Baja",'Mapa final'!$AD$90="Catastrófico"),CONCATENATE("R29C",'Mapa final'!$R$90),"")</f>
        <v/>
      </c>
      <c r="Y184" s="56"/>
      <c r="Z184" s="312"/>
      <c r="AA184" s="313"/>
      <c r="AB184" s="313"/>
      <c r="AC184" s="313"/>
      <c r="AD184" s="313"/>
      <c r="AE184" s="314"/>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row>
    <row r="185" spans="1:61" ht="15" customHeight="1" x14ac:dyDescent="0.35">
      <c r="A185" s="56"/>
      <c r="B185" s="307"/>
      <c r="C185" s="307"/>
      <c r="D185" s="308"/>
      <c r="E185" s="284"/>
      <c r="F185" s="297"/>
      <c r="G185" s="297"/>
      <c r="H185" s="297"/>
      <c r="I185" s="279"/>
      <c r="J185" s="115" t="str">
        <f>IF(AND('Mapa final'!$AB$91="Baja",'Mapa final'!$AD$91="Leve"),CONCATENATE("R30C",'Mapa final'!$R$91),"")</f>
        <v/>
      </c>
      <c r="K185" s="54" t="str">
        <f>IF(AND('Mapa final'!$AB$92="Baja",'Mapa final'!$AD$92="Leve"),CONCATENATE("R30C",'Mapa final'!$R$92),"")</f>
        <v/>
      </c>
      <c r="L185" s="116" t="str">
        <f>IF(AND('Mapa final'!$AB$93="Baja",'Mapa final'!$AD$93="Leve"),CONCATENATE("R30C",'Mapa final'!$R$93),"")</f>
        <v/>
      </c>
      <c r="M185" s="49" t="str">
        <f>IF(AND('Mapa final'!$AB$91="Baja",'Mapa final'!$AD$91="Menor"),CONCATENATE("R30C",'Mapa final'!$R$91),"")</f>
        <v/>
      </c>
      <c r="N185" s="50" t="str">
        <f>IF(AND('Mapa final'!$AB$92="Baja",'Mapa final'!$AD$92="Menor"),CONCATENATE("R30C",'Mapa final'!$R$92),"")</f>
        <v/>
      </c>
      <c r="O185" s="111" t="str">
        <f>IF(AND('Mapa final'!$AB$93="Baja",'Mapa final'!$AD$93="Menor"),CONCATENATE("R30C",'Mapa final'!$R$93),"")</f>
        <v/>
      </c>
      <c r="P185" s="49" t="str">
        <f>IF(AND('Mapa final'!$AB$91="Baja",'Mapa final'!$AD$91="Moderado"),CONCATENATE("R30C",'Mapa final'!$R$91),"")</f>
        <v/>
      </c>
      <c r="Q185" s="50" t="str">
        <f>IF(AND('Mapa final'!$AB$92="Baja",'Mapa final'!$AD$92="Moderado"),CONCATENATE("R30C",'Mapa final'!$R$92),"")</f>
        <v/>
      </c>
      <c r="R185" s="111" t="str">
        <f>IF(AND('Mapa final'!$AB$93="Baja",'Mapa final'!$AD$93="Moderado"),CONCATENATE("R30C",'Mapa final'!$R$93),"")</f>
        <v/>
      </c>
      <c r="S185" s="105" t="str">
        <f>IF(AND('Mapa final'!$AB$91="Baja",'Mapa final'!$AD$91="Mayor"),CONCATENATE("R30C",'Mapa final'!$R$91),"")</f>
        <v/>
      </c>
      <c r="T185" s="42" t="str">
        <f>IF(AND('Mapa final'!$AB$92="Baja",'Mapa final'!$AD$92="Mayor"),CONCATENATE("R30C",'Mapa final'!$R$92),"")</f>
        <v>R30C2</v>
      </c>
      <c r="U185" s="106" t="str">
        <f>IF(AND('Mapa final'!$AB$93="Baja",'Mapa final'!$AD$93="Mayor"),CONCATENATE("R30C",'Mapa final'!$R$93),"")</f>
        <v/>
      </c>
      <c r="V185" s="43" t="str">
        <f>IF(AND('Mapa final'!$AB$91="Baja",'Mapa final'!$AD$91="Catastrófico"),CONCATENATE("R30C",'Mapa final'!$R$91),"")</f>
        <v/>
      </c>
      <c r="W185" s="44" t="str">
        <f>IF(AND('Mapa final'!$AB$92="Baja",'Mapa final'!$AD$92="Catastrófico"),CONCATENATE("R30C",'Mapa final'!$R$92),"")</f>
        <v/>
      </c>
      <c r="X185" s="100" t="str">
        <f>IF(AND('Mapa final'!$AB$93="Baja",'Mapa final'!$AD$93="Catastrófico"),CONCATENATE("R30C",'Mapa final'!$R$93),"")</f>
        <v/>
      </c>
      <c r="Y185" s="56"/>
      <c r="Z185" s="312"/>
      <c r="AA185" s="313"/>
      <c r="AB185" s="313"/>
      <c r="AC185" s="313"/>
      <c r="AD185" s="313"/>
      <c r="AE185" s="314"/>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row>
    <row r="186" spans="1:61" ht="15" customHeight="1" x14ac:dyDescent="0.35">
      <c r="A186" s="56"/>
      <c r="B186" s="307"/>
      <c r="C186" s="307"/>
      <c r="D186" s="308"/>
      <c r="E186" s="284"/>
      <c r="F186" s="297"/>
      <c r="G186" s="297"/>
      <c r="H186" s="297"/>
      <c r="I186" s="279"/>
      <c r="J186" s="115" t="str">
        <f>IF(AND('Mapa final'!$AB$94="Baja",'Mapa final'!$AD$94="Leve"),CONCATENATE("R31C",'Mapa final'!$R$94),"")</f>
        <v/>
      </c>
      <c r="K186" s="54" t="str">
        <f>IF(AND('Mapa final'!$AB$95="Baja",'Mapa final'!$AD$95="Leve"),CONCATENATE("R31C",'Mapa final'!$R$95),"")</f>
        <v/>
      </c>
      <c r="L186" s="116" t="str">
        <f>IF(AND('Mapa final'!$AB$96="Baja",'Mapa final'!$AD$96="Leve"),CONCATENATE("R31C",'Mapa final'!$R$96),"")</f>
        <v/>
      </c>
      <c r="M186" s="49" t="str">
        <f>IF(AND('Mapa final'!$AB$94="Baja",'Mapa final'!$AD$94="Menor"),CONCATENATE("R31C",'Mapa final'!$R$94),"")</f>
        <v/>
      </c>
      <c r="N186" s="50" t="str">
        <f>IF(AND('Mapa final'!$AB$95="Baja",'Mapa final'!$AD$95="Menor"),CONCATENATE("R31C",'Mapa final'!$R$95),"")</f>
        <v/>
      </c>
      <c r="O186" s="111" t="str">
        <f>IF(AND('Mapa final'!$AB$96="Baja",'Mapa final'!$AD$96="Menor"),CONCATENATE("R31C",'Mapa final'!$R$96),"")</f>
        <v/>
      </c>
      <c r="P186" s="49" t="str">
        <f>IF(AND('Mapa final'!$AB$94="Baja",'Mapa final'!$AD$94="Moderado"),CONCATENATE("R31C",'Mapa final'!$R$94),"")</f>
        <v>R31C1</v>
      </c>
      <c r="Q186" s="50" t="str">
        <f>IF(AND('Mapa final'!$AB$95="Baja",'Mapa final'!$AD$95="Moderado"),CONCATENATE("R31C",'Mapa final'!$R$95),"")</f>
        <v/>
      </c>
      <c r="R186" s="111" t="str">
        <f>IF(AND('Mapa final'!$AB$96="Baja",'Mapa final'!$AD$96="Moderado"),CONCATENATE("R31C",'Mapa final'!$R$96),"")</f>
        <v/>
      </c>
      <c r="S186" s="105" t="str">
        <f>IF(AND('Mapa final'!$AB$94="Baja",'Mapa final'!$AD$94="Mayor"),CONCATENATE("R31C",'Mapa final'!$R$94),"")</f>
        <v/>
      </c>
      <c r="T186" s="42" t="str">
        <f>IF(AND('Mapa final'!$AB$95="Baja",'Mapa final'!$AD$95="Mayor"),CONCATENATE("R31C",'Mapa final'!$R$95),"")</f>
        <v/>
      </c>
      <c r="U186" s="106" t="str">
        <f>IF(AND('Mapa final'!$AB$96="Baja",'Mapa final'!$AD$96="Mayor"),CONCATENATE("R31C",'Mapa final'!$R$96),"")</f>
        <v/>
      </c>
      <c r="V186" s="43" t="str">
        <f>IF(AND('Mapa final'!$AB$94="Baja",'Mapa final'!$AD$94="Catastrófico"),CONCATENATE("R31C",'Mapa final'!$R$94),"")</f>
        <v/>
      </c>
      <c r="W186" s="44" t="str">
        <f>IF(AND('Mapa final'!$AB$95="Baja",'Mapa final'!$AD$95="Catastrófico"),CONCATENATE("R31C",'Mapa final'!$R$95),"")</f>
        <v/>
      </c>
      <c r="X186" s="100" t="str">
        <f>IF(AND('Mapa final'!$AB$96="Baja",'Mapa final'!$AD$96="Catastrófico"),CONCATENATE("R31C",'Mapa final'!$R$96),"")</f>
        <v/>
      </c>
      <c r="Y186" s="56"/>
      <c r="Z186" s="312"/>
      <c r="AA186" s="313"/>
      <c r="AB186" s="313"/>
      <c r="AC186" s="313"/>
      <c r="AD186" s="313"/>
      <c r="AE186" s="314"/>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row>
    <row r="187" spans="1:61" ht="15" customHeight="1" x14ac:dyDescent="0.35">
      <c r="A187" s="56"/>
      <c r="B187" s="307"/>
      <c r="C187" s="307"/>
      <c r="D187" s="308"/>
      <c r="E187" s="284"/>
      <c r="F187" s="297"/>
      <c r="G187" s="297"/>
      <c r="H187" s="297"/>
      <c r="I187" s="279"/>
      <c r="J187" s="115" t="e">
        <f>IF(AND('Mapa final'!#REF!="Baja",'Mapa final'!#REF!="Leve"),CONCATENATE("R32C",'Mapa final'!#REF!),"")</f>
        <v>#REF!</v>
      </c>
      <c r="K187" s="54" t="e">
        <f>IF(AND('Mapa final'!#REF!="Baja",'Mapa final'!#REF!="Leve"),CONCATENATE("R32C",'Mapa final'!#REF!),"")</f>
        <v>#REF!</v>
      </c>
      <c r="L187" s="116" t="e">
        <f>IF(AND('Mapa final'!#REF!="Baja",'Mapa final'!#REF!="Leve"),CONCATENATE("R32C",'Mapa final'!#REF!),"")</f>
        <v>#REF!</v>
      </c>
      <c r="M187" s="49" t="e">
        <f>IF(AND('Mapa final'!#REF!="Baja",'Mapa final'!#REF!="Menor"),CONCATENATE("R32C",'Mapa final'!#REF!),"")</f>
        <v>#REF!</v>
      </c>
      <c r="N187" s="50" t="e">
        <f>IF(AND('Mapa final'!#REF!="Baja",'Mapa final'!#REF!="Menor"),CONCATENATE("R32C",'Mapa final'!#REF!),"")</f>
        <v>#REF!</v>
      </c>
      <c r="O187" s="111" t="e">
        <f>IF(AND('Mapa final'!#REF!="Baja",'Mapa final'!#REF!="Menor"),CONCATENATE("R32C",'Mapa final'!#REF!),"")</f>
        <v>#REF!</v>
      </c>
      <c r="P187" s="49" t="e">
        <f>IF(AND('Mapa final'!#REF!="Baja",'Mapa final'!#REF!="Moderado"),CONCATENATE("R32C",'Mapa final'!#REF!),"")</f>
        <v>#REF!</v>
      </c>
      <c r="Q187" s="50" t="e">
        <f>IF(AND('Mapa final'!#REF!="Baja",'Mapa final'!#REF!="Moderado"),CONCATENATE("R32C",'Mapa final'!#REF!),"")</f>
        <v>#REF!</v>
      </c>
      <c r="R187" s="111" t="e">
        <f>IF(AND('Mapa final'!#REF!="Baja",'Mapa final'!#REF!="Moderado"),CONCATENATE("R32C",'Mapa final'!#REF!),"")</f>
        <v>#REF!</v>
      </c>
      <c r="S187" s="105" t="e">
        <f>IF(AND('Mapa final'!#REF!="Baja",'Mapa final'!#REF!="Mayor"),CONCATENATE("R32C",'Mapa final'!#REF!),"")</f>
        <v>#REF!</v>
      </c>
      <c r="T187" s="42" t="e">
        <f>IF(AND('Mapa final'!#REF!="Baja",'Mapa final'!#REF!="Mayor"),CONCATENATE("R32C",'Mapa final'!#REF!),"")</f>
        <v>#REF!</v>
      </c>
      <c r="U187" s="106" t="e">
        <f>IF(AND('Mapa final'!#REF!="Baja",'Mapa final'!#REF!="Mayor"),CONCATENATE("R32C",'Mapa final'!#REF!),"")</f>
        <v>#REF!</v>
      </c>
      <c r="V187" s="43" t="e">
        <f>IF(AND('Mapa final'!#REF!="Baja",'Mapa final'!#REF!="Catastrófico"),CONCATENATE("R32C",'Mapa final'!#REF!),"")</f>
        <v>#REF!</v>
      </c>
      <c r="W187" s="44" t="e">
        <f>IF(AND('Mapa final'!#REF!="Baja",'Mapa final'!#REF!="Catastrófico"),CONCATENATE("R32C",'Mapa final'!#REF!),"")</f>
        <v>#REF!</v>
      </c>
      <c r="X187" s="100" t="e">
        <f>IF(AND('Mapa final'!#REF!="Baja",'Mapa final'!#REF!="Catastrófico"),CONCATENATE("R32C",'Mapa final'!#REF!),"")</f>
        <v>#REF!</v>
      </c>
      <c r="Y187" s="56"/>
      <c r="Z187" s="312"/>
      <c r="AA187" s="313"/>
      <c r="AB187" s="313"/>
      <c r="AC187" s="313"/>
      <c r="AD187" s="313"/>
      <c r="AE187" s="314"/>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row>
    <row r="188" spans="1:61" ht="15" customHeight="1" x14ac:dyDescent="0.35">
      <c r="A188" s="56"/>
      <c r="B188" s="307"/>
      <c r="C188" s="307"/>
      <c r="D188" s="308"/>
      <c r="E188" s="284"/>
      <c r="F188" s="297"/>
      <c r="G188" s="297"/>
      <c r="H188" s="297"/>
      <c r="I188" s="279"/>
      <c r="J188" s="115" t="str">
        <f>IF(AND('Mapa final'!$AB$97="Baja",'Mapa final'!$AD$97="Leve"),CONCATENATE("R33C",'Mapa final'!$R$97),"")</f>
        <v/>
      </c>
      <c r="K188" s="54" t="str">
        <f>IF(AND('Mapa final'!$AB$98="Baja",'Mapa final'!$AD$98="Leve"),CONCATENATE("R33C",'Mapa final'!$R$98),"")</f>
        <v/>
      </c>
      <c r="L188" s="116" t="str">
        <f>IF(AND('Mapa final'!$AB$99="Baja",'Mapa final'!$AD$99="Leve"),CONCATENATE("R33C",'Mapa final'!$R$99),"")</f>
        <v/>
      </c>
      <c r="M188" s="49" t="str">
        <f>IF(AND('Mapa final'!$AB$97="Baja",'Mapa final'!$AD$97="Menor"),CONCATENATE("R33C",'Mapa final'!$R$97),"")</f>
        <v/>
      </c>
      <c r="N188" s="50" t="str">
        <f>IF(AND('Mapa final'!$AB$98="Baja",'Mapa final'!$AD$98="Menor"),CONCATENATE("R33C",'Mapa final'!$R$98),"")</f>
        <v/>
      </c>
      <c r="O188" s="111" t="str">
        <f>IF(AND('Mapa final'!$AB$99="Baja",'Mapa final'!$AD$99="Menor"),CONCATENATE("R33C",'Mapa final'!$R$99),"")</f>
        <v/>
      </c>
      <c r="P188" s="49" t="str">
        <f>IF(AND('Mapa final'!$AB$97="Baja",'Mapa final'!$AD$97="Moderado"),CONCATENATE("R33C",'Mapa final'!$R$97),"")</f>
        <v/>
      </c>
      <c r="Q188" s="50" t="str">
        <f>IF(AND('Mapa final'!$AB$98="Baja",'Mapa final'!$AD$98="Moderado"),CONCATENATE("R33C",'Mapa final'!$R$98),"")</f>
        <v/>
      </c>
      <c r="R188" s="111" t="str">
        <f>IF(AND('Mapa final'!$AB$99="Baja",'Mapa final'!$AD$99="Moderado"),CONCATENATE("R33C",'Mapa final'!$R$99),"")</f>
        <v/>
      </c>
      <c r="S188" s="105" t="str">
        <f>IF(AND('Mapa final'!$AB$97="Baja",'Mapa final'!$AD$97="Mayor"),CONCATENATE("R33C",'Mapa final'!$R$97),"")</f>
        <v/>
      </c>
      <c r="T188" s="42" t="str">
        <f>IF(AND('Mapa final'!$AB$98="Baja",'Mapa final'!$AD$98="Mayor"),CONCATENATE("R33C",'Mapa final'!$R$98),"")</f>
        <v/>
      </c>
      <c r="U188" s="106" t="str">
        <f>IF(AND('Mapa final'!$AB$99="Baja",'Mapa final'!$AD$99="Mayor"),CONCATENATE("R33C",'Mapa final'!$R$99),"")</f>
        <v/>
      </c>
      <c r="V188" s="43" t="str">
        <f>IF(AND('Mapa final'!$AB$97="Baja",'Mapa final'!$AD$97="Catastrófico"),CONCATENATE("R33C",'Mapa final'!$R$97),"")</f>
        <v/>
      </c>
      <c r="W188" s="44" t="str">
        <f>IF(AND('Mapa final'!$AB$98="Baja",'Mapa final'!$AD$98="Catastrófico"),CONCATENATE("R33C",'Mapa final'!$R$98),"")</f>
        <v/>
      </c>
      <c r="X188" s="100" t="str">
        <f>IF(AND('Mapa final'!$AB$99="Baja",'Mapa final'!$AD$99="Catastrófico"),CONCATENATE("R33C",'Mapa final'!$R$99),"")</f>
        <v/>
      </c>
      <c r="Y188" s="56"/>
      <c r="Z188" s="312"/>
      <c r="AA188" s="313"/>
      <c r="AB188" s="313"/>
      <c r="AC188" s="313"/>
      <c r="AD188" s="313"/>
      <c r="AE188" s="314"/>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row>
    <row r="189" spans="1:61" ht="15" customHeight="1" x14ac:dyDescent="0.35">
      <c r="A189" s="56"/>
      <c r="B189" s="307"/>
      <c r="C189" s="307"/>
      <c r="D189" s="308"/>
      <c r="E189" s="284"/>
      <c r="F189" s="297"/>
      <c r="G189" s="297"/>
      <c r="H189" s="297"/>
      <c r="I189" s="279"/>
      <c r="J189" s="115" t="str">
        <f>IF(AND('Mapa final'!$AB$100="Baja",'Mapa final'!$AD$100="Leve"),CONCATENATE("R34C",'Mapa final'!$R$100),"")</f>
        <v/>
      </c>
      <c r="K189" s="54" t="str">
        <f>IF(AND('Mapa final'!$AB$101="Baja",'Mapa final'!$AD$101="Leve"),CONCATENATE("R34C",'Mapa final'!$R$101),"")</f>
        <v/>
      </c>
      <c r="L189" s="116" t="str">
        <f>IF(AND('Mapa final'!$AB$102="Baja",'Mapa final'!$AD$102="Leve"),CONCATENATE("R34C",'Mapa final'!$R$102),"")</f>
        <v/>
      </c>
      <c r="M189" s="49" t="str">
        <f>IF(AND('Mapa final'!$AB$100="Baja",'Mapa final'!$AD$100="Menor"),CONCATENATE("R34C",'Mapa final'!$R$100),"")</f>
        <v/>
      </c>
      <c r="N189" s="50" t="str">
        <f>IF(AND('Mapa final'!$AB$101="Baja",'Mapa final'!$AD$101="Menor"),CONCATENATE("R34C",'Mapa final'!$R$101),"")</f>
        <v/>
      </c>
      <c r="O189" s="111" t="str">
        <f>IF(AND('Mapa final'!$AB$102="Baja",'Mapa final'!$AD$102="Menor"),CONCATENATE("R34C",'Mapa final'!$R$102),"")</f>
        <v/>
      </c>
      <c r="P189" s="49" t="str">
        <f>IF(AND('Mapa final'!$AB$100="Baja",'Mapa final'!$AD$100="Moderado"),CONCATENATE("R34C",'Mapa final'!$R$100),"")</f>
        <v/>
      </c>
      <c r="Q189" s="50" t="str">
        <f>IF(AND('Mapa final'!$AB$101="Baja",'Mapa final'!$AD$101="Moderado"),CONCATENATE("R34C",'Mapa final'!$R$101),"")</f>
        <v>R34C2</v>
      </c>
      <c r="R189" s="111" t="str">
        <f>IF(AND('Mapa final'!$AB$102="Baja",'Mapa final'!$AD$102="Moderado"),CONCATENATE("R34C",'Mapa final'!$R$102),"")</f>
        <v/>
      </c>
      <c r="S189" s="105" t="str">
        <f>IF(AND('Mapa final'!$AB$100="Baja",'Mapa final'!$AD$100="Mayor"),CONCATENATE("R34C",'Mapa final'!$R$100),"")</f>
        <v/>
      </c>
      <c r="T189" s="42" t="str">
        <f>IF(AND('Mapa final'!$AB$101="Baja",'Mapa final'!$AD$101="Mayor"),CONCATENATE("R34C",'Mapa final'!$R$101),"")</f>
        <v/>
      </c>
      <c r="U189" s="106" t="str">
        <f>IF(AND('Mapa final'!$AB$102="Baja",'Mapa final'!$AD$102="Mayor"),CONCATENATE("R34C",'Mapa final'!$R$102),"")</f>
        <v/>
      </c>
      <c r="V189" s="43" t="str">
        <f>IF(AND('Mapa final'!$AB$100="Baja",'Mapa final'!$AD$100="Catastrófico"),CONCATENATE("R34C",'Mapa final'!$R$100),"")</f>
        <v/>
      </c>
      <c r="W189" s="44" t="str">
        <f>IF(AND('Mapa final'!$AB$101="Baja",'Mapa final'!$AD$101="Catastrófico"),CONCATENATE("R34C",'Mapa final'!$R$101),"")</f>
        <v/>
      </c>
      <c r="X189" s="100" t="str">
        <f>IF(AND('Mapa final'!$AB$102="Baja",'Mapa final'!$AD$102="Catastrófico"),CONCATENATE("R34C",'Mapa final'!$R$102),"")</f>
        <v/>
      </c>
      <c r="Y189" s="56"/>
      <c r="Z189" s="312"/>
      <c r="AA189" s="313"/>
      <c r="AB189" s="313"/>
      <c r="AC189" s="313"/>
      <c r="AD189" s="313"/>
      <c r="AE189" s="314"/>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row>
    <row r="190" spans="1:61" ht="15" customHeight="1" x14ac:dyDescent="0.35">
      <c r="A190" s="56"/>
      <c r="B190" s="307"/>
      <c r="C190" s="307"/>
      <c r="D190" s="308"/>
      <c r="E190" s="284"/>
      <c r="F190" s="297"/>
      <c r="G190" s="297"/>
      <c r="H190" s="297"/>
      <c r="I190" s="279"/>
      <c r="J190" s="115" t="str">
        <f>IF(AND('Mapa final'!$AB$103="Baja",'Mapa final'!$AD$103="Leve"),CONCATENATE("R35C",'Mapa final'!$R$103),"")</f>
        <v/>
      </c>
      <c r="K190" s="54" t="str">
        <f>IF(AND('Mapa final'!$AB$104="Baja",'Mapa final'!$AD$104="Leve"),CONCATENATE("R35C",'Mapa final'!$R$104),"")</f>
        <v/>
      </c>
      <c r="L190" s="116" t="str">
        <f>IF(AND('Mapa final'!$AB$105="Baja",'Mapa final'!$AD$105="Leve"),CONCATENATE("R35C",'Mapa final'!$R$105),"")</f>
        <v/>
      </c>
      <c r="M190" s="49" t="str">
        <f>IF(AND('Mapa final'!$AB$103="Baja",'Mapa final'!$AD$103="Menor"),CONCATENATE("R35C",'Mapa final'!$R$103),"")</f>
        <v/>
      </c>
      <c r="N190" s="50" t="str">
        <f>IF(AND('Mapa final'!$AB$104="Baja",'Mapa final'!$AD$104="Menor"),CONCATENATE("R35C",'Mapa final'!$R$104),"")</f>
        <v/>
      </c>
      <c r="O190" s="111" t="str">
        <f>IF(AND('Mapa final'!$AB$105="Baja",'Mapa final'!$AD$105="Menor"),CONCATENATE("R35C",'Mapa final'!$R$105),"")</f>
        <v/>
      </c>
      <c r="P190" s="49" t="str">
        <f>IF(AND('Mapa final'!$AB$103="Baja",'Mapa final'!$AD$103="Moderado"),CONCATENATE("R35C",'Mapa final'!$R$103),"")</f>
        <v>R35C1</v>
      </c>
      <c r="Q190" s="50" t="str">
        <f>IF(AND('Mapa final'!$AB$104="Baja",'Mapa final'!$AD$104="Moderado"),CONCATENATE("R35C",'Mapa final'!$R$104),"")</f>
        <v>R35C2</v>
      </c>
      <c r="R190" s="111" t="str">
        <f>IF(AND('Mapa final'!$AB$105="Baja",'Mapa final'!$AD$105="Moderado"),CONCATENATE("R35C",'Mapa final'!$R$105),"")</f>
        <v/>
      </c>
      <c r="S190" s="105" t="str">
        <f>IF(AND('Mapa final'!$AB$103="Baja",'Mapa final'!$AD$103="Mayor"),CONCATENATE("R35C",'Mapa final'!$R$103),"")</f>
        <v/>
      </c>
      <c r="T190" s="42" t="str">
        <f>IF(AND('Mapa final'!$AB$104="Baja",'Mapa final'!$AD$104="Mayor"),CONCATENATE("R35C",'Mapa final'!$R$104),"")</f>
        <v/>
      </c>
      <c r="U190" s="106" t="str">
        <f>IF(AND('Mapa final'!$AB$105="Baja",'Mapa final'!$AD$105="Mayor"),CONCATENATE("R35C",'Mapa final'!$R$105),"")</f>
        <v/>
      </c>
      <c r="V190" s="43" t="str">
        <f>IF(AND('Mapa final'!$AB$103="Baja",'Mapa final'!$AD$103="Catastrófico"),CONCATENATE("R35C",'Mapa final'!$R$103),"")</f>
        <v/>
      </c>
      <c r="W190" s="44" t="str">
        <f>IF(AND('Mapa final'!$AB$104="Baja",'Mapa final'!$AD$104="Catastrófico"),CONCATENATE("R35C",'Mapa final'!$R$104),"")</f>
        <v/>
      </c>
      <c r="X190" s="100" t="str">
        <f>IF(AND('Mapa final'!$AB$105="Baja",'Mapa final'!$AD$105="Catastrófico"),CONCATENATE("R35C",'Mapa final'!$R$105),"")</f>
        <v/>
      </c>
      <c r="Y190" s="56"/>
      <c r="Z190" s="312"/>
      <c r="AA190" s="313"/>
      <c r="AB190" s="313"/>
      <c r="AC190" s="313"/>
      <c r="AD190" s="313"/>
      <c r="AE190" s="314"/>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row>
    <row r="191" spans="1:61" ht="15" customHeight="1" x14ac:dyDescent="0.35">
      <c r="A191" s="56"/>
      <c r="B191" s="307"/>
      <c r="C191" s="307"/>
      <c r="D191" s="308"/>
      <c r="E191" s="284"/>
      <c r="F191" s="297"/>
      <c r="G191" s="297"/>
      <c r="H191" s="297"/>
      <c r="I191" s="279"/>
      <c r="J191" s="115" t="str">
        <f>IF(AND('Mapa final'!$AB$106="Baja",'Mapa final'!$AD$106="Leve"),CONCATENATE("R36C",'Mapa final'!$R$106),"")</f>
        <v/>
      </c>
      <c r="K191" s="54" t="str">
        <f>IF(AND('Mapa final'!$AB$107="Baja",'Mapa final'!$AD$107="Leve"),CONCATENATE("R36C",'Mapa final'!$R$107),"")</f>
        <v/>
      </c>
      <c r="L191" s="116" t="str">
        <f>IF(AND('Mapa final'!$AB$108="Baja",'Mapa final'!$AD$108="Leve"),CONCATENATE("R36C",'Mapa final'!$R$108),"")</f>
        <v/>
      </c>
      <c r="M191" s="49" t="str">
        <f>IF(AND('Mapa final'!$AB$106="Baja",'Mapa final'!$AD$106="Menor"),CONCATENATE("R36C",'Mapa final'!$R$106),"")</f>
        <v/>
      </c>
      <c r="N191" s="50" t="str">
        <f>IF(AND('Mapa final'!$AB$107="Baja",'Mapa final'!$AD$107="Menor"),CONCATENATE("R36C",'Mapa final'!$R$107),"")</f>
        <v/>
      </c>
      <c r="O191" s="111" t="str">
        <f>IF(AND('Mapa final'!$AB$108="Baja",'Mapa final'!$AD$108="Menor"),CONCATENATE("R36C",'Mapa final'!$R$108),"")</f>
        <v/>
      </c>
      <c r="P191" s="49" t="str">
        <f>IF(AND('Mapa final'!$AB$106="Baja",'Mapa final'!$AD$106="Moderado"),CONCATENATE("R36C",'Mapa final'!$R$106),"")</f>
        <v/>
      </c>
      <c r="Q191" s="50" t="str">
        <f>IF(AND('Mapa final'!$AB$107="Baja",'Mapa final'!$AD$107="Moderado"),CONCATENATE("R36C",'Mapa final'!$R$107),"")</f>
        <v/>
      </c>
      <c r="R191" s="111" t="str">
        <f>IF(AND('Mapa final'!$AB$108="Baja",'Mapa final'!$AD$108="Moderado"),CONCATENATE("R36C",'Mapa final'!$R$108),"")</f>
        <v/>
      </c>
      <c r="S191" s="105" t="str">
        <f>IF(AND('Mapa final'!$AB$106="Baja",'Mapa final'!$AD$106="Mayor"),CONCATENATE("R36C",'Mapa final'!$R$106),"")</f>
        <v>R36C1</v>
      </c>
      <c r="T191" s="42" t="str">
        <f>IF(AND('Mapa final'!$AB$107="Baja",'Mapa final'!$AD$107="Mayor"),CONCATENATE("R36C",'Mapa final'!$R$107),"")</f>
        <v>R36C2</v>
      </c>
      <c r="U191" s="106" t="str">
        <f>IF(AND('Mapa final'!$AB$108="Baja",'Mapa final'!$AD$108="Mayor"),CONCATENATE("R36C",'Mapa final'!$R$108),"")</f>
        <v/>
      </c>
      <c r="V191" s="43" t="str">
        <f>IF(AND('Mapa final'!$AB$106="Baja",'Mapa final'!$AD$106="Catastrófico"),CONCATENATE("R36C",'Mapa final'!$R$106),"")</f>
        <v/>
      </c>
      <c r="W191" s="44" t="str">
        <f>IF(AND('Mapa final'!$AB$107="Baja",'Mapa final'!$AD$107="Catastrófico"),CONCATENATE("R36C",'Mapa final'!$R$107),"")</f>
        <v/>
      </c>
      <c r="X191" s="100" t="str">
        <f>IF(AND('Mapa final'!$AB$108="Baja",'Mapa final'!$AD$108="Catastrófico"),CONCATENATE("R36C",'Mapa final'!$R$108),"")</f>
        <v/>
      </c>
      <c r="Y191" s="56"/>
      <c r="Z191" s="312"/>
      <c r="AA191" s="313"/>
      <c r="AB191" s="313"/>
      <c r="AC191" s="313"/>
      <c r="AD191" s="313"/>
      <c r="AE191" s="314"/>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row>
    <row r="192" spans="1:61" ht="15" customHeight="1" x14ac:dyDescent="0.35">
      <c r="A192" s="56"/>
      <c r="B192" s="307"/>
      <c r="C192" s="307"/>
      <c r="D192" s="308"/>
      <c r="E192" s="284"/>
      <c r="F192" s="297"/>
      <c r="G192" s="297"/>
      <c r="H192" s="297"/>
      <c r="I192" s="279"/>
      <c r="J192" s="115" t="str">
        <f>IF(AND('Mapa final'!$AB$109="Baja",'Mapa final'!$AD$109="Leve"),CONCATENATE("R37C",'Mapa final'!$R$109),"")</f>
        <v/>
      </c>
      <c r="K192" s="54" t="str">
        <f>IF(AND('Mapa final'!$AB$110="Baja",'Mapa final'!$AD$110="Leve"),CONCATENATE("R37C",'Mapa final'!$R$110),"")</f>
        <v/>
      </c>
      <c r="L192" s="116" t="str">
        <f>IF(AND('Mapa final'!$AB$111="Baja",'Mapa final'!$AD$111="Leve"),CONCATENATE("R37C",'Mapa final'!$R$111),"")</f>
        <v/>
      </c>
      <c r="M192" s="49" t="str">
        <f>IF(AND('Mapa final'!$AB$109="Baja",'Mapa final'!$AD$109="Menor"),CONCATENATE("R37C",'Mapa final'!$R$109),"")</f>
        <v>R37C1</v>
      </c>
      <c r="N192" s="50" t="str">
        <f>IF(AND('Mapa final'!$AB$110="Baja",'Mapa final'!$AD$110="Menor"),CONCATENATE("R37C",'Mapa final'!$R$110),"")</f>
        <v>R37C2</v>
      </c>
      <c r="O192" s="111" t="str">
        <f>IF(AND('Mapa final'!$AB$111="Baja",'Mapa final'!$AD$111="Menor"),CONCATENATE("R37C",'Mapa final'!$R$111),"")</f>
        <v/>
      </c>
      <c r="P192" s="49" t="str">
        <f>IF(AND('Mapa final'!$AB$109="Baja",'Mapa final'!$AD$109="Moderado"),CONCATENATE("R37C",'Mapa final'!$R$109),"")</f>
        <v/>
      </c>
      <c r="Q192" s="50" t="str">
        <f>IF(AND('Mapa final'!$AB$110="Baja",'Mapa final'!$AD$110="Moderado"),CONCATENATE("R37C",'Mapa final'!$R$110),"")</f>
        <v/>
      </c>
      <c r="R192" s="111" t="str">
        <f>IF(AND('Mapa final'!$AB$111="Baja",'Mapa final'!$AD$111="Moderado"),CONCATENATE("R37C",'Mapa final'!$R$111),"")</f>
        <v/>
      </c>
      <c r="S192" s="105" t="str">
        <f>IF(AND('Mapa final'!$AB$109="Baja",'Mapa final'!$AD$109="Mayor"),CONCATENATE("R37C",'Mapa final'!$R$109),"")</f>
        <v/>
      </c>
      <c r="T192" s="42" t="str">
        <f>IF(AND('Mapa final'!$AB$110="Baja",'Mapa final'!$AD$110="Mayor"),CONCATENATE("R37C",'Mapa final'!$R$110),"")</f>
        <v/>
      </c>
      <c r="U192" s="106" t="str">
        <f>IF(AND('Mapa final'!$AB$111="Baja",'Mapa final'!$AD$111="Mayor"),CONCATENATE("R37C",'Mapa final'!$R$111),"")</f>
        <v/>
      </c>
      <c r="V192" s="43" t="str">
        <f>IF(AND('Mapa final'!$AB$109="Baja",'Mapa final'!$AD$109="Catastrófico"),CONCATENATE("R37C",'Mapa final'!$R$109),"")</f>
        <v/>
      </c>
      <c r="W192" s="44" t="str">
        <f>IF(AND('Mapa final'!$AB$110="Baja",'Mapa final'!$AD$110="Catastrófico"),CONCATENATE("R37C",'Mapa final'!$R$110),"")</f>
        <v/>
      </c>
      <c r="X192" s="100" t="str">
        <f>IF(AND('Mapa final'!$AB$111="Baja",'Mapa final'!$AD$111="Catastrófico"),CONCATENATE("R37C",'Mapa final'!$R$111),"")</f>
        <v/>
      </c>
      <c r="Y192" s="56"/>
      <c r="Z192" s="312"/>
      <c r="AA192" s="313"/>
      <c r="AB192" s="313"/>
      <c r="AC192" s="313"/>
      <c r="AD192" s="313"/>
      <c r="AE192" s="314"/>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row>
    <row r="193" spans="1:65" ht="15" customHeight="1" x14ac:dyDescent="0.35">
      <c r="A193" s="56"/>
      <c r="B193" s="307"/>
      <c r="C193" s="307"/>
      <c r="D193" s="308"/>
      <c r="E193" s="284"/>
      <c r="F193" s="297"/>
      <c r="G193" s="297"/>
      <c r="H193" s="297"/>
      <c r="I193" s="279"/>
      <c r="J193" s="115" t="str">
        <f>IF(AND('Mapa final'!$AB$112="Baja",'Mapa final'!$AD$112="Leve"),CONCATENATE("R38C",'Mapa final'!$R$112),"")</f>
        <v/>
      </c>
      <c r="K193" s="54" t="str">
        <f>IF(AND('Mapa final'!$AB$113="Baja",'Mapa final'!$AD$113="Leve"),CONCATENATE("R38C",'Mapa final'!$R$113),"")</f>
        <v/>
      </c>
      <c r="L193" s="116" t="str">
        <f>IF(AND('Mapa final'!$AB$114="Baja",'Mapa final'!$AD$114="Leve"),CONCATENATE("R38C",'Mapa final'!$R$114),"")</f>
        <v/>
      </c>
      <c r="M193" s="49" t="str">
        <f>IF(AND('Mapa final'!$AB$112="Baja",'Mapa final'!$AD$112="Menor"),CONCATENATE("R38C",'Mapa final'!$R$112),"")</f>
        <v>R38C1</v>
      </c>
      <c r="N193" s="50" t="str">
        <f>IF(AND('Mapa final'!$AB$113="Baja",'Mapa final'!$AD$113="Menor"),CONCATENATE("R38C",'Mapa final'!$R$113),"")</f>
        <v/>
      </c>
      <c r="O193" s="111" t="str">
        <f>IF(AND('Mapa final'!$AB$114="Baja",'Mapa final'!$AD$114="Menor"),CONCATENATE("R38C",'Mapa final'!$R$114),"")</f>
        <v/>
      </c>
      <c r="P193" s="49" t="str">
        <f>IF(AND('Mapa final'!$AB$112="Baja",'Mapa final'!$AD$112="Moderado"),CONCATENATE("R38C",'Mapa final'!$R$112),"")</f>
        <v/>
      </c>
      <c r="Q193" s="50" t="str">
        <f>IF(AND('Mapa final'!$AB$113="Baja",'Mapa final'!$AD$113="Moderado"),CONCATENATE("R38C",'Mapa final'!$R$113),"")</f>
        <v/>
      </c>
      <c r="R193" s="111" t="str">
        <f>IF(AND('Mapa final'!$AB$114="Baja",'Mapa final'!$AD$114="Moderado"),CONCATENATE("R38C",'Mapa final'!$R$114),"")</f>
        <v/>
      </c>
      <c r="S193" s="105" t="str">
        <f>IF(AND('Mapa final'!$AB$112="Baja",'Mapa final'!$AD$112="Mayor"),CONCATENATE("R38C",'Mapa final'!$R$112),"")</f>
        <v/>
      </c>
      <c r="T193" s="42" t="str">
        <f>IF(AND('Mapa final'!$AB$113="Baja",'Mapa final'!$AD$113="Mayor"),CONCATENATE("R38C",'Mapa final'!$R$113),"")</f>
        <v/>
      </c>
      <c r="U193" s="106" t="str">
        <f>IF(AND('Mapa final'!$AB$114="Baja",'Mapa final'!$AD$114="Mayor"),CONCATENATE("R38C",'Mapa final'!$R$114),"")</f>
        <v/>
      </c>
      <c r="V193" s="43" t="str">
        <f>IF(AND('Mapa final'!$AB$112="Baja",'Mapa final'!$AD$112="Catastrófico"),CONCATENATE("R38C",'Mapa final'!$R$112),"")</f>
        <v/>
      </c>
      <c r="W193" s="44" t="str">
        <f>IF(AND('Mapa final'!$AB$113="Baja",'Mapa final'!$AD$113="Catastrófico"),CONCATENATE("R38C",'Mapa final'!$R$113),"")</f>
        <v/>
      </c>
      <c r="X193" s="100" t="str">
        <f>IF(AND('Mapa final'!$AB$114="Baja",'Mapa final'!$AD$114="Catastrófico"),CONCATENATE("R38C",'Mapa final'!$R$114),"")</f>
        <v/>
      </c>
      <c r="Y193" s="56"/>
      <c r="Z193" s="312"/>
      <c r="AA193" s="313"/>
      <c r="AB193" s="313"/>
      <c r="AC193" s="313"/>
      <c r="AD193" s="313"/>
      <c r="AE193" s="314"/>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row>
    <row r="194" spans="1:65" ht="15" customHeight="1" x14ac:dyDescent="0.35">
      <c r="A194" s="56"/>
      <c r="B194" s="307"/>
      <c r="C194" s="307"/>
      <c r="D194" s="308"/>
      <c r="E194" s="284"/>
      <c r="F194" s="297"/>
      <c r="G194" s="297"/>
      <c r="H194" s="297"/>
      <c r="I194" s="279"/>
      <c r="J194" s="115" t="str">
        <f>IF(AND('Mapa final'!$AB$115="Baja",'Mapa final'!$AD$115="Leve"),CONCATENATE("R39C",'Mapa final'!$R$115),"")</f>
        <v/>
      </c>
      <c r="K194" s="54" t="str">
        <f>IF(AND('Mapa final'!$AB$116="Baja",'Mapa final'!$AD$116="Leve"),CONCATENATE("R39C",'Mapa final'!$R$116),"")</f>
        <v/>
      </c>
      <c r="L194" s="116" t="str">
        <f>IF(AND('Mapa final'!$AB$117="Baja",'Mapa final'!$AD$117="Leve"),CONCATENATE("R39C",'Mapa final'!$R$117),"")</f>
        <v/>
      </c>
      <c r="M194" s="49" t="str">
        <f>IF(AND('Mapa final'!$AB$115="Baja",'Mapa final'!$AD$115="Menor"),CONCATENATE("R39C",'Mapa final'!$R$115),"")</f>
        <v/>
      </c>
      <c r="N194" s="50" t="str">
        <f>IF(AND('Mapa final'!$AB$116="Baja",'Mapa final'!$AD$116="Menor"),CONCATENATE("R39C",'Mapa final'!$R$116),"")</f>
        <v>R39C2</v>
      </c>
      <c r="O194" s="111" t="str">
        <f>IF(AND('Mapa final'!$AB$117="Baja",'Mapa final'!$AD$117="Menor"),CONCATENATE("R39C",'Mapa final'!$R$117),"")</f>
        <v>R39C3</v>
      </c>
      <c r="P194" s="49" t="str">
        <f>IF(AND('Mapa final'!$AB$115="Baja",'Mapa final'!$AD$115="Moderado"),CONCATENATE("R39C",'Mapa final'!$R$115),"")</f>
        <v/>
      </c>
      <c r="Q194" s="50" t="str">
        <f>IF(AND('Mapa final'!$AB$116="Baja",'Mapa final'!$AD$116="Moderado"),CONCATENATE("R39C",'Mapa final'!$R$116),"")</f>
        <v/>
      </c>
      <c r="R194" s="111" t="str">
        <f>IF(AND('Mapa final'!$AB$117="Baja",'Mapa final'!$AD$117="Moderado"),CONCATENATE("R39C",'Mapa final'!$R$117),"")</f>
        <v/>
      </c>
      <c r="S194" s="105" t="str">
        <f>IF(AND('Mapa final'!$AB$115="Baja",'Mapa final'!$AD$115="Mayor"),CONCATENATE("R39C",'Mapa final'!$R$115),"")</f>
        <v/>
      </c>
      <c r="T194" s="42" t="str">
        <f>IF(AND('Mapa final'!$AB$116="Baja",'Mapa final'!$AD$116="Mayor"),CONCATENATE("R39C",'Mapa final'!$R$116),"")</f>
        <v/>
      </c>
      <c r="U194" s="106" t="str">
        <f>IF(AND('Mapa final'!$AB$117="Baja",'Mapa final'!$AD$117="Mayor"),CONCATENATE("R39C",'Mapa final'!$R$117),"")</f>
        <v/>
      </c>
      <c r="V194" s="43" t="str">
        <f>IF(AND('Mapa final'!$AB$115="Baja",'Mapa final'!$AD$115="Catastrófico"),CONCATENATE("R39C",'Mapa final'!$R$115),"")</f>
        <v/>
      </c>
      <c r="W194" s="44" t="str">
        <f>IF(AND('Mapa final'!$AB$116="Baja",'Mapa final'!$AD$116="Catastrófico"),CONCATENATE("R39C",'Mapa final'!$R$116),"")</f>
        <v/>
      </c>
      <c r="X194" s="100" t="str">
        <f>IF(AND('Mapa final'!$AB$117="Baja",'Mapa final'!$AD$117="Catastrófico"),CONCATENATE("R39C",'Mapa final'!$R$117),"")</f>
        <v/>
      </c>
      <c r="Y194" s="56"/>
      <c r="Z194" s="312"/>
      <c r="AA194" s="313"/>
      <c r="AB194" s="313"/>
      <c r="AC194" s="313"/>
      <c r="AD194" s="313"/>
      <c r="AE194" s="314"/>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row>
    <row r="195" spans="1:65" ht="15" customHeight="1" x14ac:dyDescent="0.35">
      <c r="A195" s="56"/>
      <c r="B195" s="307"/>
      <c r="C195" s="307"/>
      <c r="D195" s="308"/>
      <c r="E195" s="284"/>
      <c r="F195" s="297"/>
      <c r="G195" s="297"/>
      <c r="H195" s="297"/>
      <c r="I195" s="279"/>
      <c r="J195" s="115" t="str">
        <f>IF(AND('Mapa final'!$AB$118="Baja",'Mapa final'!$AD$118="Leve"),CONCATENATE("R40C",'Mapa final'!$R$118),"")</f>
        <v/>
      </c>
      <c r="K195" s="54" t="str">
        <f>IF(AND('Mapa final'!$AB$119="Baja",'Mapa final'!$AD$119="Leve"),CONCATENATE("R40C",'Mapa final'!$R$119),"")</f>
        <v>R40C2</v>
      </c>
      <c r="L195" s="116" t="str">
        <f>IF(AND('Mapa final'!$AB$120="Baja",'Mapa final'!$AD$120="Leve"),CONCATENATE("R40C",'Mapa final'!$R$120),"")</f>
        <v/>
      </c>
      <c r="M195" s="49" t="str">
        <f>IF(AND('Mapa final'!$AB$118="Baja",'Mapa final'!$AD$118="Menor"),CONCATENATE("R40C",'Mapa final'!$R$118),"")</f>
        <v/>
      </c>
      <c r="N195" s="50" t="str">
        <f>IF(AND('Mapa final'!$AB$119="Baja",'Mapa final'!$AD$119="Menor"),CONCATENATE("R40C",'Mapa final'!$R$119),"")</f>
        <v/>
      </c>
      <c r="O195" s="111" t="str">
        <f>IF(AND('Mapa final'!$AB$120="Baja",'Mapa final'!$AD$120="Menor"),CONCATENATE("R40C",'Mapa final'!$R$120),"")</f>
        <v/>
      </c>
      <c r="P195" s="49" t="str">
        <f>IF(AND('Mapa final'!$AB$118="Baja",'Mapa final'!$AD$118="Moderado"),CONCATENATE("R40C",'Mapa final'!$R$118),"")</f>
        <v>R40C1</v>
      </c>
      <c r="Q195" s="50" t="str">
        <f>IF(AND('Mapa final'!$AB$119="Baja",'Mapa final'!$AD$119="Moderado"),CONCATENATE("R40C",'Mapa final'!$R$119),"")</f>
        <v/>
      </c>
      <c r="R195" s="111" t="str">
        <f>IF(AND('Mapa final'!$AB$120="Baja",'Mapa final'!$AD$120="Moderado"),CONCATENATE("R40C",'Mapa final'!$R$120),"")</f>
        <v/>
      </c>
      <c r="S195" s="105" t="str">
        <f>IF(AND('Mapa final'!$AB$118="Baja",'Mapa final'!$AD$118="Mayor"),CONCATENATE("R40C",'Mapa final'!$R$118),"")</f>
        <v/>
      </c>
      <c r="T195" s="42" t="str">
        <f>IF(AND('Mapa final'!$AB$119="Baja",'Mapa final'!$AD$119="Mayor"),CONCATENATE("R40C",'Mapa final'!$R$119),"")</f>
        <v/>
      </c>
      <c r="U195" s="106" t="str">
        <f>IF(AND('Mapa final'!$AB$120="Baja",'Mapa final'!$AD$120="Mayor"),CONCATENATE("R40C",'Mapa final'!$R$120),"")</f>
        <v/>
      </c>
      <c r="V195" s="43" t="str">
        <f>IF(AND('Mapa final'!$AB$118="Baja",'Mapa final'!$AD$118="Catastrófico"),CONCATENATE("R40C",'Mapa final'!$R$118),"")</f>
        <v/>
      </c>
      <c r="W195" s="44" t="str">
        <f>IF(AND('Mapa final'!$AB$119="Baja",'Mapa final'!$AD$119="Catastrófico"),CONCATENATE("R40C",'Mapa final'!$R$119),"")</f>
        <v/>
      </c>
      <c r="X195" s="100" t="str">
        <f>IF(AND('Mapa final'!$AB$120="Baja",'Mapa final'!$AD$120="Catastrófico"),CONCATENATE("R40C",'Mapa final'!$R$120),"")</f>
        <v/>
      </c>
      <c r="Y195" s="56"/>
      <c r="Z195" s="312"/>
      <c r="AA195" s="313"/>
      <c r="AB195" s="313"/>
      <c r="AC195" s="313"/>
      <c r="AD195" s="313"/>
      <c r="AE195" s="314"/>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row>
    <row r="196" spans="1:65" ht="15" customHeight="1" x14ac:dyDescent="0.35">
      <c r="A196" s="56"/>
      <c r="B196" s="307"/>
      <c r="C196" s="307"/>
      <c r="D196" s="308"/>
      <c r="E196" s="284"/>
      <c r="F196" s="297"/>
      <c r="G196" s="297"/>
      <c r="H196" s="297"/>
      <c r="I196" s="279"/>
      <c r="J196" s="115" t="str">
        <f>IF(AND('Mapa final'!$AB$121="Baja",'Mapa final'!$AD$121="Leve"),CONCATENATE("R41C",'Mapa final'!$R$121),"")</f>
        <v/>
      </c>
      <c r="K196" s="54" t="str">
        <f>IF(AND('Mapa final'!$AB$122="Baja",'Mapa final'!$AD$122="Leve"),CONCATENATE("R41C",'Mapa final'!$R$122),"")</f>
        <v/>
      </c>
      <c r="L196" s="116" t="str">
        <f>IF(AND('Mapa final'!$AB$123="Baja",'Mapa final'!$AD$123="Leve"),CONCATENATE("R41C",'Mapa final'!$R$123),"")</f>
        <v/>
      </c>
      <c r="M196" s="49" t="str">
        <f>IF(AND('Mapa final'!$AB$121="Baja",'Mapa final'!$AD$121="Menor"),CONCATENATE("R41C",'Mapa final'!$R$121),"")</f>
        <v/>
      </c>
      <c r="N196" s="50" t="str">
        <f>IF(AND('Mapa final'!$AB$122="Baja",'Mapa final'!$AD$122="Menor"),CONCATENATE("R41C",'Mapa final'!$R$122),"")</f>
        <v/>
      </c>
      <c r="O196" s="111" t="str">
        <f>IF(AND('Mapa final'!$AB$123="Baja",'Mapa final'!$AD$123="Menor"),CONCATENATE("R41C",'Mapa final'!$R$123),"")</f>
        <v/>
      </c>
      <c r="P196" s="49" t="str">
        <f>IF(AND('Mapa final'!$AB$121="Baja",'Mapa final'!$AD$121="Moderado"),CONCATENATE("R41C",'Mapa final'!$R$121),"")</f>
        <v/>
      </c>
      <c r="Q196" s="50" t="str">
        <f>IF(AND('Mapa final'!$AB$122="Baja",'Mapa final'!$AD$122="Moderado"),CONCATENATE("R41C",'Mapa final'!$R$122),"")</f>
        <v/>
      </c>
      <c r="R196" s="111" t="str">
        <f>IF(AND('Mapa final'!$AB$123="Baja",'Mapa final'!$AD$123="Moderado"),CONCATENATE("R41C",'Mapa final'!$R$123),"")</f>
        <v/>
      </c>
      <c r="S196" s="105" t="str">
        <f>IF(AND('Mapa final'!$AB$121="Baja",'Mapa final'!$AD$121="Mayor"),CONCATENATE("R41C",'Mapa final'!$R$121),"")</f>
        <v/>
      </c>
      <c r="T196" s="42" t="str">
        <f>IF(AND('Mapa final'!$AB$122="Baja",'Mapa final'!$AD$122="Mayor"),CONCATENATE("R41C",'Mapa final'!$R$122),"")</f>
        <v/>
      </c>
      <c r="U196" s="106" t="str">
        <f>IF(AND('Mapa final'!$AB$123="Baja",'Mapa final'!$AD$123="Mayor"),CONCATENATE("R41C",'Mapa final'!$R$123),"")</f>
        <v/>
      </c>
      <c r="V196" s="43" t="str">
        <f>IF(AND('Mapa final'!$AB$121="Baja",'Mapa final'!$AD$121="Catastrófico"),CONCATENATE("R41C",'Mapa final'!$R$121),"")</f>
        <v/>
      </c>
      <c r="W196" s="44" t="str">
        <f>IF(AND('Mapa final'!$AB$122="Baja",'Mapa final'!$AD$122="Catastrófico"),CONCATENATE("R41C",'Mapa final'!$R$122),"")</f>
        <v/>
      </c>
      <c r="X196" s="100" t="str">
        <f>IF(AND('Mapa final'!$AB$123="Baja",'Mapa final'!$AD$123="Catastrófico"),CONCATENATE("R41C",'Mapa final'!$R$123),"")</f>
        <v/>
      </c>
      <c r="Y196" s="56"/>
      <c r="Z196" s="312"/>
      <c r="AA196" s="313"/>
      <c r="AB196" s="313"/>
      <c r="AC196" s="313"/>
      <c r="AD196" s="313"/>
      <c r="AE196" s="314"/>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row>
    <row r="197" spans="1:65" ht="15" customHeight="1" x14ac:dyDescent="0.35">
      <c r="A197" s="56"/>
      <c r="B197" s="307"/>
      <c r="C197" s="307"/>
      <c r="D197" s="308"/>
      <c r="E197" s="284"/>
      <c r="F197" s="297"/>
      <c r="G197" s="297"/>
      <c r="H197" s="297"/>
      <c r="I197" s="279"/>
      <c r="J197" s="115" t="str">
        <f>IF(AND('Mapa final'!$AB$124="Baja",'Mapa final'!$AD$124="Leve"),CONCATENATE("R42C",'Mapa final'!$R$124),"")</f>
        <v/>
      </c>
      <c r="K197" s="54" t="str">
        <f>IF(AND('Mapa final'!$AB$125="Baja",'Mapa final'!$AD$125="Leve"),CONCATENATE("R42C",'Mapa final'!$R$125),"")</f>
        <v/>
      </c>
      <c r="L197" s="116" t="str">
        <f>IF(AND('Mapa final'!$AB$126="Baja",'Mapa final'!$AD$126="Leve"),CONCATENATE("R42C",'Mapa final'!$R$126),"")</f>
        <v/>
      </c>
      <c r="M197" s="49" t="str">
        <f>IF(AND('Mapa final'!$AB$124="Baja",'Mapa final'!$AD$124="Menor"),CONCATENATE("R42C",'Mapa final'!$R$124),"")</f>
        <v/>
      </c>
      <c r="N197" s="50" t="str">
        <f>IF(AND('Mapa final'!$AB$125="Baja",'Mapa final'!$AD$125="Menor"),CONCATENATE("R42C",'Mapa final'!$R$125),"")</f>
        <v/>
      </c>
      <c r="O197" s="111" t="str">
        <f>IF(AND('Mapa final'!$AB$126="Baja",'Mapa final'!$AD$126="Menor"),CONCATENATE("R42C",'Mapa final'!$R$126),"")</f>
        <v/>
      </c>
      <c r="P197" s="49" t="str">
        <f>IF(AND('Mapa final'!$AB$124="Baja",'Mapa final'!$AD$124="Moderado"),CONCATENATE("R42C",'Mapa final'!$R$124),"")</f>
        <v>R42C1</v>
      </c>
      <c r="Q197" s="50" t="str">
        <f>IF(AND('Mapa final'!$AB$125="Baja",'Mapa final'!$AD$125="Moderado"),CONCATENATE("R42C",'Mapa final'!$R$125),"")</f>
        <v/>
      </c>
      <c r="R197" s="111" t="str">
        <f>IF(AND('Mapa final'!$AB$126="Baja",'Mapa final'!$AD$126="Moderado"),CONCATENATE("R42C",'Mapa final'!$R$126),"")</f>
        <v/>
      </c>
      <c r="S197" s="105" t="str">
        <f>IF(AND('Mapa final'!$AB$124="Baja",'Mapa final'!$AD$124="Mayor"),CONCATENATE("R42C",'Mapa final'!$R$124),"")</f>
        <v/>
      </c>
      <c r="T197" s="42" t="str">
        <f>IF(AND('Mapa final'!$AB$125="Baja",'Mapa final'!$AD$125="Mayor"),CONCATENATE("R42C",'Mapa final'!$R$125),"")</f>
        <v/>
      </c>
      <c r="U197" s="106" t="str">
        <f>IF(AND('Mapa final'!$AB$126="Baja",'Mapa final'!$AD$126="Mayor"),CONCATENATE("R42C",'Mapa final'!$R$126),"")</f>
        <v/>
      </c>
      <c r="V197" s="43" t="str">
        <f>IF(AND('Mapa final'!$AB$124="Baja",'Mapa final'!$AD$124="Catastrófico"),CONCATENATE("R42C",'Mapa final'!$R$124),"")</f>
        <v/>
      </c>
      <c r="W197" s="44" t="str">
        <f>IF(AND('Mapa final'!$AB$125="Baja",'Mapa final'!$AD$125="Catastrófico"),CONCATENATE("R42C",'Mapa final'!$R$125),"")</f>
        <v/>
      </c>
      <c r="X197" s="100" t="str">
        <f>IF(AND('Mapa final'!$AB$126="Baja",'Mapa final'!$AD$126="Catastrófico"),CONCATENATE("R42C",'Mapa final'!$R$126),"")</f>
        <v/>
      </c>
      <c r="Y197" s="56"/>
      <c r="Z197" s="312"/>
      <c r="AA197" s="313"/>
      <c r="AB197" s="313"/>
      <c r="AC197" s="313"/>
      <c r="AD197" s="313"/>
      <c r="AE197" s="314"/>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row>
    <row r="198" spans="1:65" ht="15" customHeight="1" x14ac:dyDescent="0.35">
      <c r="A198" s="56"/>
      <c r="B198" s="307"/>
      <c r="C198" s="307"/>
      <c r="D198" s="308"/>
      <c r="E198" s="284"/>
      <c r="F198" s="297"/>
      <c r="G198" s="297"/>
      <c r="H198" s="297"/>
      <c r="I198" s="279"/>
      <c r="J198" s="115" t="str">
        <f>IF(AND('Mapa final'!$AB$127="Baja",'Mapa final'!$AD$127="Leve"),CONCATENATE("R43C",'Mapa final'!$R$127),"")</f>
        <v/>
      </c>
      <c r="K198" s="54" t="str">
        <f>IF(AND('Mapa final'!$AB$128="Baja",'Mapa final'!$AD$128="Leve"),CONCATENATE("R43C",'Mapa final'!$R$128),"")</f>
        <v/>
      </c>
      <c r="L198" s="116" t="str">
        <f>IF(AND('Mapa final'!$AB$129="Baja",'Mapa final'!$AD$129="Leve"),CONCATENATE("R43C",'Mapa final'!$R$129),"")</f>
        <v/>
      </c>
      <c r="M198" s="49" t="str">
        <f>IF(AND('Mapa final'!$AB$127="Baja",'Mapa final'!$AD$127="Menor"),CONCATENATE("R43C",'Mapa final'!$R$127),"")</f>
        <v/>
      </c>
      <c r="N198" s="50" t="str">
        <f>IF(AND('Mapa final'!$AB$128="Baja",'Mapa final'!$AD$128="Menor"),CONCATENATE("R43C",'Mapa final'!$R$128),"")</f>
        <v/>
      </c>
      <c r="O198" s="111" t="str">
        <f>IF(AND('Mapa final'!$AB$129="Baja",'Mapa final'!$AD$129="Menor"),CONCATENATE("R43C",'Mapa final'!$R$129),"")</f>
        <v/>
      </c>
      <c r="P198" s="49" t="str">
        <f>IF(AND('Mapa final'!$AB$127="Baja",'Mapa final'!$AD$127="Moderado"),CONCATENATE("R43C",'Mapa final'!$R$127),"")</f>
        <v/>
      </c>
      <c r="Q198" s="50" t="str">
        <f>IF(AND('Mapa final'!$AB$128="Baja",'Mapa final'!$AD$128="Moderado"),CONCATENATE("R43C",'Mapa final'!$R$128),"")</f>
        <v/>
      </c>
      <c r="R198" s="111" t="str">
        <f>IF(AND('Mapa final'!$AB$129="Baja",'Mapa final'!$AD$129="Moderado"),CONCATENATE("R43C",'Mapa final'!$R$129),"")</f>
        <v/>
      </c>
      <c r="S198" s="105" t="str">
        <f>IF(AND('Mapa final'!$AB$127="Baja",'Mapa final'!$AD$127="Mayor"),CONCATENATE("R43C",'Mapa final'!$R$127),"")</f>
        <v/>
      </c>
      <c r="T198" s="42" t="str">
        <f>IF(AND('Mapa final'!$AB$128="Baja",'Mapa final'!$AD$128="Mayor"),CONCATENATE("R43C",'Mapa final'!$R$128),"")</f>
        <v>R43C2</v>
      </c>
      <c r="U198" s="106" t="str">
        <f>IF(AND('Mapa final'!$AB$129="Baja",'Mapa final'!$AD$129="Mayor"),CONCATENATE("R43C",'Mapa final'!$R$129),"")</f>
        <v/>
      </c>
      <c r="V198" s="43" t="str">
        <f>IF(AND('Mapa final'!$AB$127="Baja",'Mapa final'!$AD$127="Catastrófico"),CONCATENATE("R43C",'Mapa final'!$R$127),"")</f>
        <v/>
      </c>
      <c r="W198" s="44" t="str">
        <f>IF(AND('Mapa final'!$AB$128="Baja",'Mapa final'!$AD$128="Catastrófico"),CONCATENATE("R43C",'Mapa final'!$R$128),"")</f>
        <v/>
      </c>
      <c r="X198" s="100" t="str">
        <f>IF(AND('Mapa final'!$AB$129="Baja",'Mapa final'!$AD$129="Catastrófico"),CONCATENATE("R43C",'Mapa final'!$R$129),"")</f>
        <v/>
      </c>
      <c r="Y198" s="56"/>
      <c r="Z198" s="312"/>
      <c r="AA198" s="313"/>
      <c r="AB198" s="313"/>
      <c r="AC198" s="313"/>
      <c r="AD198" s="313"/>
      <c r="AE198" s="314"/>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row>
    <row r="199" spans="1:65" ht="15" customHeight="1" x14ac:dyDescent="0.35">
      <c r="A199" s="56"/>
      <c r="B199" s="307"/>
      <c r="C199" s="307"/>
      <c r="D199" s="308"/>
      <c r="E199" s="284"/>
      <c r="F199" s="297"/>
      <c r="G199" s="297"/>
      <c r="H199" s="297"/>
      <c r="I199" s="279"/>
      <c r="J199" s="115" t="str">
        <f>IF(AND('Mapa final'!$AB$130="Baja",'Mapa final'!$AD$130="Leve"),CONCATENATE("R44C",'Mapa final'!$R$130),"")</f>
        <v/>
      </c>
      <c r="K199" s="54" t="str">
        <f>IF(AND('Mapa final'!$AB$131="Baja",'Mapa final'!$AD$131="Leve"),CONCATENATE("R44C",'Mapa final'!$R$131),"")</f>
        <v/>
      </c>
      <c r="L199" s="116" t="str">
        <f>IF(AND('Mapa final'!$AB$132="Baja",'Mapa final'!$AD$132="Leve"),CONCATENATE("R44C",'Mapa final'!$R$132),"")</f>
        <v/>
      </c>
      <c r="M199" s="49" t="str">
        <f>IF(AND('Mapa final'!$AB$130="Baja",'Mapa final'!$AD$130="Menor"),CONCATENATE("R44C",'Mapa final'!$R$130),"")</f>
        <v/>
      </c>
      <c r="N199" s="50" t="str">
        <f>IF(AND('Mapa final'!$AB$131="Baja",'Mapa final'!$AD$131="Menor"),CONCATENATE("R44C",'Mapa final'!$R$131),"")</f>
        <v/>
      </c>
      <c r="O199" s="111" t="str">
        <f>IF(AND('Mapa final'!$AB$132="Baja",'Mapa final'!$AD$132="Menor"),CONCATENATE("R44C",'Mapa final'!$R$132),"")</f>
        <v/>
      </c>
      <c r="P199" s="49" t="str">
        <f>IF(AND('Mapa final'!$AB$130="Baja",'Mapa final'!$AD$130="Moderado"),CONCATENATE("R44C",'Mapa final'!$R$130),"")</f>
        <v/>
      </c>
      <c r="Q199" s="50" t="str">
        <f>IF(AND('Mapa final'!$AB$131="Baja",'Mapa final'!$AD$131="Moderado"),CONCATENATE("R44C",'Mapa final'!$R$131),"")</f>
        <v>R44C2</v>
      </c>
      <c r="R199" s="111" t="str">
        <f>IF(AND('Mapa final'!$AB$132="Baja",'Mapa final'!$AD$132="Moderado"),CONCATENATE("R44C",'Mapa final'!$R$132),"")</f>
        <v>R44C3</v>
      </c>
      <c r="S199" s="105" t="str">
        <f>IF(AND('Mapa final'!$AB$130="Baja",'Mapa final'!$AD$130="Mayor"),CONCATENATE("R44C",'Mapa final'!$R$130),"")</f>
        <v/>
      </c>
      <c r="T199" s="42" t="str">
        <f>IF(AND('Mapa final'!$AB$131="Baja",'Mapa final'!$AD$131="Mayor"),CONCATENATE("R44C",'Mapa final'!$R$131),"")</f>
        <v/>
      </c>
      <c r="U199" s="106" t="str">
        <f>IF(AND('Mapa final'!$AB$132="Baja",'Mapa final'!$AD$132="Mayor"),CONCATENATE("R44C",'Mapa final'!$R$132),"")</f>
        <v/>
      </c>
      <c r="V199" s="43" t="str">
        <f>IF(AND('Mapa final'!$AB$130="Baja",'Mapa final'!$AD$130="Catastrófico"),CONCATENATE("R44C",'Mapa final'!$R$130),"")</f>
        <v/>
      </c>
      <c r="W199" s="44" t="str">
        <f>IF(AND('Mapa final'!$AB$131="Baja",'Mapa final'!$AD$131="Catastrófico"),CONCATENATE("R44C",'Mapa final'!$R$131),"")</f>
        <v/>
      </c>
      <c r="X199" s="100" t="str">
        <f>IF(AND('Mapa final'!$AB$132="Baja",'Mapa final'!$AD$132="Catastrófico"),CONCATENATE("R44C",'Mapa final'!$R$132),"")</f>
        <v/>
      </c>
      <c r="Y199" s="56"/>
      <c r="Z199" s="312"/>
      <c r="AA199" s="313"/>
      <c r="AB199" s="313"/>
      <c r="AC199" s="313"/>
      <c r="AD199" s="313"/>
      <c r="AE199" s="314"/>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row>
    <row r="200" spans="1:65" ht="15" customHeight="1" x14ac:dyDescent="0.35">
      <c r="A200" s="56"/>
      <c r="B200" s="307"/>
      <c r="C200" s="307"/>
      <c r="D200" s="308"/>
      <c r="E200" s="284"/>
      <c r="F200" s="297"/>
      <c r="G200" s="297"/>
      <c r="H200" s="297"/>
      <c r="I200" s="279"/>
      <c r="J200" s="115" t="str">
        <f>IF(AND('Mapa final'!$AB$133="Baja",'Mapa final'!$AD$133="Leve"),CONCATENATE("R45C",'Mapa final'!$R$133),"")</f>
        <v/>
      </c>
      <c r="K200" s="54" t="str">
        <f>IF(AND('Mapa final'!$AB$134="Baja",'Mapa final'!$AD$134="Leve"),CONCATENATE("R45C",'Mapa final'!$R$134),"")</f>
        <v/>
      </c>
      <c r="L200" s="116" t="str">
        <f>IF(AND('Mapa final'!$AB$135="Baja",'Mapa final'!$AD$135="Leve"),CONCATENATE("R45C",'Mapa final'!$R$135),"")</f>
        <v/>
      </c>
      <c r="M200" s="49" t="str">
        <f>IF(AND('Mapa final'!$AB$133="Baja",'Mapa final'!$AD$133="Menor"),CONCATENATE("R45C",'Mapa final'!$R$133),"")</f>
        <v/>
      </c>
      <c r="N200" s="50" t="str">
        <f>IF(AND('Mapa final'!$AB$134="Baja",'Mapa final'!$AD$134="Menor"),CONCATENATE("R45C",'Mapa final'!$R$134),"")</f>
        <v/>
      </c>
      <c r="O200" s="111" t="str">
        <f>IF(AND('Mapa final'!$AB$135="Baja",'Mapa final'!$AD$135="Menor"),CONCATENATE("R45C",'Mapa final'!$R$135),"")</f>
        <v/>
      </c>
      <c r="P200" s="49" t="str">
        <f>IF(AND('Mapa final'!$AB$133="Baja",'Mapa final'!$AD$133="Moderado"),CONCATENATE("R45C",'Mapa final'!$R$133),"")</f>
        <v/>
      </c>
      <c r="Q200" s="50" t="str">
        <f>IF(AND('Mapa final'!$AB$134="Baja",'Mapa final'!$AD$134="Moderado"),CONCATENATE("R45C",'Mapa final'!$R$134),"")</f>
        <v/>
      </c>
      <c r="R200" s="111" t="str">
        <f>IF(AND('Mapa final'!$AB$135="Baja",'Mapa final'!$AD$135="Moderado"),CONCATENATE("R45C",'Mapa final'!$R$135),"")</f>
        <v/>
      </c>
      <c r="S200" s="105" t="str">
        <f>IF(AND('Mapa final'!$AB$133="Baja",'Mapa final'!$AD$133="Mayor"),CONCATENATE("R45C",'Mapa final'!$R$133),"")</f>
        <v/>
      </c>
      <c r="T200" s="42" t="str">
        <f>IF(AND('Mapa final'!$AB$134="Baja",'Mapa final'!$AD$134="Mayor"),CONCATENATE("R45C",'Mapa final'!$R$134),"")</f>
        <v/>
      </c>
      <c r="U200" s="106" t="str">
        <f>IF(AND('Mapa final'!$AB$135="Baja",'Mapa final'!$AD$135="Mayor"),CONCATENATE("R45C",'Mapa final'!$R$135),"")</f>
        <v/>
      </c>
      <c r="V200" s="43" t="str">
        <f>IF(AND('Mapa final'!$AB$133="Baja",'Mapa final'!$AD$133="Catastrófico"),CONCATENATE("R45C",'Mapa final'!$R$133),"")</f>
        <v/>
      </c>
      <c r="W200" s="44" t="str">
        <f>IF(AND('Mapa final'!$AB$134="Baja",'Mapa final'!$AD$134="Catastrófico"),CONCATENATE("R45C",'Mapa final'!$R$134),"")</f>
        <v/>
      </c>
      <c r="X200" s="100" t="str">
        <f>IF(AND('Mapa final'!$AB$135="Baja",'Mapa final'!$AD$135="Catastrófico"),CONCATENATE("R45C",'Mapa final'!$R$135),"")</f>
        <v/>
      </c>
      <c r="Y200" s="56"/>
      <c r="Z200" s="312"/>
      <c r="AA200" s="313"/>
      <c r="AB200" s="313"/>
      <c r="AC200" s="313"/>
      <c r="AD200" s="313"/>
      <c r="AE200" s="314"/>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row>
    <row r="201" spans="1:65" ht="15" customHeight="1" x14ac:dyDescent="0.35">
      <c r="A201" s="56"/>
      <c r="B201" s="307"/>
      <c r="C201" s="307"/>
      <c r="D201" s="308"/>
      <c r="E201" s="284"/>
      <c r="F201" s="297"/>
      <c r="G201" s="297"/>
      <c r="H201" s="297"/>
      <c r="I201" s="279"/>
      <c r="J201" s="115" t="str">
        <f>IF(AND('Mapa final'!$AB$136="Baja",'Mapa final'!$AD$136="Leve"),CONCATENATE("R46C",'Mapa final'!$R$136),"")</f>
        <v/>
      </c>
      <c r="K201" s="54" t="str">
        <f>IF(AND('Mapa final'!$AB$137="Baja",'Mapa final'!$AD$137="Leve"),CONCATENATE("R46C",'Mapa final'!$R$137),"")</f>
        <v/>
      </c>
      <c r="L201" s="116" t="str">
        <f>IF(AND('Mapa final'!$AB$138="Baja",'Mapa final'!$AD$138="Leve"),CONCATENATE("R46C",'Mapa final'!$R$138),"")</f>
        <v/>
      </c>
      <c r="M201" s="49" t="str">
        <f>IF(AND('Mapa final'!$AB$136="Baja",'Mapa final'!$AD$136="Menor"),CONCATENATE("R46C",'Mapa final'!$R$136),"")</f>
        <v/>
      </c>
      <c r="N201" s="50" t="str">
        <f>IF(AND('Mapa final'!$AB$137="Baja",'Mapa final'!$AD$137="Menor"),CONCATENATE("R46C",'Mapa final'!$R$137),"")</f>
        <v/>
      </c>
      <c r="O201" s="111" t="str">
        <f>IF(AND('Mapa final'!$AB$138="Baja",'Mapa final'!$AD$138="Menor"),CONCATENATE("R46C",'Mapa final'!$R$138),"")</f>
        <v/>
      </c>
      <c r="P201" s="49" t="str">
        <f>IF(AND('Mapa final'!$AB$136="Baja",'Mapa final'!$AD$136="Moderado"),CONCATENATE("R46C",'Mapa final'!$R$136),"")</f>
        <v/>
      </c>
      <c r="Q201" s="50" t="str">
        <f>IF(AND('Mapa final'!$AB$137="Baja",'Mapa final'!$AD$137="Moderado"),CONCATENATE("R46C",'Mapa final'!$R$137),"")</f>
        <v/>
      </c>
      <c r="R201" s="111" t="str">
        <f>IF(AND('Mapa final'!$AB$138="Baja",'Mapa final'!$AD$138="Moderado"),CONCATENATE("R46C",'Mapa final'!$R$138),"")</f>
        <v/>
      </c>
      <c r="S201" s="105" t="str">
        <f>IF(AND('Mapa final'!$AB$136="Baja",'Mapa final'!$AD$136="Mayor"),CONCATENATE("R46C",'Mapa final'!$R$136),"")</f>
        <v>R46C1</v>
      </c>
      <c r="T201" s="42" t="str">
        <f>IF(AND('Mapa final'!$AB$137="Baja",'Mapa final'!$AD$137="Mayor"),CONCATENATE("R46C",'Mapa final'!$R$137),"")</f>
        <v/>
      </c>
      <c r="U201" s="106" t="str">
        <f>IF(AND('Mapa final'!$AB$138="Baja",'Mapa final'!$AD$138="Mayor"),CONCATENATE("R46C",'Mapa final'!$R$138),"")</f>
        <v/>
      </c>
      <c r="V201" s="43" t="str">
        <f>IF(AND('Mapa final'!$AB$136="Baja",'Mapa final'!$AD$136="Catastrófico"),CONCATENATE("R46C",'Mapa final'!$R$136),"")</f>
        <v/>
      </c>
      <c r="W201" s="44" t="str">
        <f>IF(AND('Mapa final'!$AB$137="Baja",'Mapa final'!$AD$137="Catastrófico"),CONCATENATE("R46C",'Mapa final'!$R$137),"")</f>
        <v/>
      </c>
      <c r="X201" s="100" t="str">
        <f>IF(AND('Mapa final'!$AB$138="Baja",'Mapa final'!$AD$138="Catastrófico"),CONCATENATE("R46C",'Mapa final'!$R$138),"")</f>
        <v/>
      </c>
      <c r="Y201" s="56"/>
      <c r="Z201" s="312"/>
      <c r="AA201" s="313"/>
      <c r="AB201" s="313"/>
      <c r="AC201" s="313"/>
      <c r="AD201" s="313"/>
      <c r="AE201" s="314"/>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row>
    <row r="202" spans="1:65" ht="15" customHeight="1" x14ac:dyDescent="0.35">
      <c r="A202" s="56"/>
      <c r="B202" s="307"/>
      <c r="C202" s="307"/>
      <c r="D202" s="308"/>
      <c r="E202" s="284"/>
      <c r="F202" s="297"/>
      <c r="G202" s="297"/>
      <c r="H202" s="297"/>
      <c r="I202" s="279"/>
      <c r="J202" s="115" t="str">
        <f>IF(AND('Mapa final'!$AB$139="Baja",'Mapa final'!$AD$139="Leve"),CONCATENATE("R47C",'Mapa final'!$R$139),"")</f>
        <v/>
      </c>
      <c r="K202" s="54" t="str">
        <f>IF(AND('Mapa final'!$AB$140="Baja",'Mapa final'!$AD$140="Leve"),CONCATENATE("R47C",'Mapa final'!$R$140),"")</f>
        <v/>
      </c>
      <c r="L202" s="116" t="str">
        <f>IF(AND('Mapa final'!$AB$141="Baja",'Mapa final'!$AD$141="Leve"),CONCATENATE("R47C",'Mapa final'!$R$141),"")</f>
        <v/>
      </c>
      <c r="M202" s="49" t="str">
        <f>IF(AND('Mapa final'!$AB$139="Baja",'Mapa final'!$AD$139="Menor"),CONCATENATE("R47C",'Mapa final'!$R$139),"")</f>
        <v/>
      </c>
      <c r="N202" s="50" t="str">
        <f>IF(AND('Mapa final'!$AB$140="Baja",'Mapa final'!$AD$140="Menor"),CONCATENATE("R47C",'Mapa final'!$R$140),"")</f>
        <v/>
      </c>
      <c r="O202" s="111" t="str">
        <f>IF(AND('Mapa final'!$AB$141="Baja",'Mapa final'!$AD$141="Menor"),CONCATENATE("R47C",'Mapa final'!$R$141),"")</f>
        <v/>
      </c>
      <c r="P202" s="49" t="str">
        <f>IF(AND('Mapa final'!$AB$139="Baja",'Mapa final'!$AD$139="Moderado"),CONCATENATE("R47C",'Mapa final'!$R$139),"")</f>
        <v>R47C1</v>
      </c>
      <c r="Q202" s="50" t="str">
        <f>IF(AND('Mapa final'!$AB$140="Baja",'Mapa final'!$AD$140="Moderado"),CONCATENATE("R47C",'Mapa final'!$R$140),"")</f>
        <v/>
      </c>
      <c r="R202" s="111" t="str">
        <f>IF(AND('Mapa final'!$AB$141="Baja",'Mapa final'!$AD$141="Moderado"),CONCATENATE("R47C",'Mapa final'!$R$141),"")</f>
        <v/>
      </c>
      <c r="S202" s="105" t="str">
        <f>IF(AND('Mapa final'!$AB$139="Baja",'Mapa final'!$AD$139="Mayor"),CONCATENATE("R47C",'Mapa final'!$R$139),"")</f>
        <v/>
      </c>
      <c r="T202" s="42" t="str">
        <f>IF(AND('Mapa final'!$AB$140="Baja",'Mapa final'!$AD$140="Mayor"),CONCATENATE("R47C",'Mapa final'!$R$140),"")</f>
        <v/>
      </c>
      <c r="U202" s="106" t="str">
        <f>IF(AND('Mapa final'!$AB$141="Baja",'Mapa final'!$AD$141="Mayor"),CONCATENATE("R47C",'Mapa final'!$R$141),"")</f>
        <v/>
      </c>
      <c r="V202" s="43" t="str">
        <f>IF(AND('Mapa final'!$AB$139="Baja",'Mapa final'!$AD$139="Catastrófico"),CONCATENATE("R47C",'Mapa final'!$R$139),"")</f>
        <v/>
      </c>
      <c r="W202" s="44" t="str">
        <f>IF(AND('Mapa final'!$AB$140="Baja",'Mapa final'!$AD$140="Catastrófico"),CONCATENATE("R47C",'Mapa final'!$R$140),"")</f>
        <v/>
      </c>
      <c r="X202" s="100" t="str">
        <f>IF(AND('Mapa final'!$AB$141="Baja",'Mapa final'!$AD$141="Catastrófico"),CONCATENATE("R47C",'Mapa final'!$R$141),"")</f>
        <v/>
      </c>
      <c r="Y202" s="56"/>
      <c r="Z202" s="312"/>
      <c r="AA202" s="313"/>
      <c r="AB202" s="313"/>
      <c r="AC202" s="313"/>
      <c r="AD202" s="313"/>
      <c r="AE202" s="314"/>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row>
    <row r="203" spans="1:65" ht="15" customHeight="1" x14ac:dyDescent="0.35">
      <c r="A203" s="56"/>
      <c r="B203" s="307"/>
      <c r="C203" s="307"/>
      <c r="D203" s="308"/>
      <c r="E203" s="284"/>
      <c r="F203" s="297"/>
      <c r="G203" s="297"/>
      <c r="H203" s="297"/>
      <c r="I203" s="279"/>
      <c r="J203" s="115" t="str">
        <f>IF(AND('Mapa final'!$AB$142="Baja",'Mapa final'!$AD$142="Leve"),CONCATENATE("R48C",'Mapa final'!$R$142),"")</f>
        <v/>
      </c>
      <c r="K203" s="54" t="str">
        <f>IF(AND('Mapa final'!$AB$143="Baja",'Mapa final'!$AD$143="Leve"),CONCATENATE("R48C",'Mapa final'!$R$143),"")</f>
        <v/>
      </c>
      <c r="L203" s="116" t="str">
        <f>IF(AND('Mapa final'!$AB$144="Baja",'Mapa final'!$AD$144="Leve"),CONCATENATE("R48C",'Mapa final'!$R$144),"")</f>
        <v/>
      </c>
      <c r="M203" s="49" t="str">
        <f>IF(AND('Mapa final'!$AB$142="Baja",'Mapa final'!$AD$142="Menor"),CONCATENATE("R48C",'Mapa final'!$R$142),"")</f>
        <v/>
      </c>
      <c r="N203" s="50" t="str">
        <f>IF(AND('Mapa final'!$AB$143="Baja",'Mapa final'!$AD$143="Menor"),CONCATENATE("R48C",'Mapa final'!$R$143),"")</f>
        <v/>
      </c>
      <c r="O203" s="111" t="str">
        <f>IF(AND('Mapa final'!$AB$144="Baja",'Mapa final'!$AD$144="Menor"),CONCATENATE("R48C",'Mapa final'!$R$144),"")</f>
        <v/>
      </c>
      <c r="P203" s="49" t="str">
        <f>IF(AND('Mapa final'!$AB$142="Baja",'Mapa final'!$AD$142="Moderado"),CONCATENATE("R48C",'Mapa final'!$R$142),"")</f>
        <v/>
      </c>
      <c r="Q203" s="50" t="str">
        <f>IF(AND('Mapa final'!$AB$143="Baja",'Mapa final'!$AD$143="Moderado"),CONCATENATE("R48C",'Mapa final'!$R$143),"")</f>
        <v/>
      </c>
      <c r="R203" s="111" t="str">
        <f>IF(AND('Mapa final'!$AB$144="Baja",'Mapa final'!$AD$144="Moderado"),CONCATENATE("R48C",'Mapa final'!$R$144),"")</f>
        <v/>
      </c>
      <c r="S203" s="105" t="str">
        <f>IF(AND('Mapa final'!$AB$142="Baja",'Mapa final'!$AD$142="Mayor"),CONCATENATE("R48C",'Mapa final'!$R$142),"")</f>
        <v/>
      </c>
      <c r="T203" s="42" t="str">
        <f>IF(AND('Mapa final'!$AB$143="Baja",'Mapa final'!$AD$143="Mayor"),CONCATENATE("R48C",'Mapa final'!$R$143),"")</f>
        <v/>
      </c>
      <c r="U203" s="106" t="str">
        <f>IF(AND('Mapa final'!$AB$144="Baja",'Mapa final'!$AD$144="Mayor"),CONCATENATE("R48C",'Mapa final'!$R$144),"")</f>
        <v/>
      </c>
      <c r="V203" s="43" t="str">
        <f>IF(AND('Mapa final'!$AB$142="Baja",'Mapa final'!$AD$142="Catastrófico"),CONCATENATE("R48C",'Mapa final'!$R$142),"")</f>
        <v/>
      </c>
      <c r="W203" s="44" t="str">
        <f>IF(AND('Mapa final'!$AB$143="Baja",'Mapa final'!$AD$143="Catastrófico"),CONCATENATE("R48C",'Mapa final'!$R$143),"")</f>
        <v/>
      </c>
      <c r="X203" s="100" t="str">
        <f>IF(AND('Mapa final'!$AB$144="Baja",'Mapa final'!$AD$144="Catastrófico"),CONCATENATE("R48C",'Mapa final'!$R$144),"")</f>
        <v/>
      </c>
      <c r="Y203" s="56"/>
      <c r="Z203" s="312"/>
      <c r="AA203" s="313"/>
      <c r="AB203" s="313"/>
      <c r="AC203" s="313"/>
      <c r="AD203" s="313"/>
      <c r="AE203" s="314"/>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row>
    <row r="204" spans="1:65" ht="15" customHeight="1" x14ac:dyDescent="0.35">
      <c r="A204" s="56"/>
      <c r="B204" s="307"/>
      <c r="C204" s="307"/>
      <c r="D204" s="308"/>
      <c r="E204" s="284"/>
      <c r="F204" s="297"/>
      <c r="G204" s="297"/>
      <c r="H204" s="297"/>
      <c r="I204" s="279"/>
      <c r="J204" s="115" t="str">
        <f>IF(AND('Mapa final'!$AB$145="Baja",'Mapa final'!$AD$145="Leve"),CONCATENATE("R49C",'Mapa final'!$R$145),"")</f>
        <v/>
      </c>
      <c r="K204" s="54" t="str">
        <f>IF(AND('Mapa final'!$AB$146="Baja",'Mapa final'!$AD$146="Leve"),CONCATENATE("R49C",'Mapa final'!$R$146),"")</f>
        <v/>
      </c>
      <c r="L204" s="116" t="str">
        <f>IF(AND('Mapa final'!$AB$147="Baja",'Mapa final'!$AD$147="Leve"),CONCATENATE("R49C",'Mapa final'!$R$147),"")</f>
        <v/>
      </c>
      <c r="M204" s="49" t="str">
        <f>IF(AND('Mapa final'!$AB$145="Baja",'Mapa final'!$AD$145="Menor"),CONCATENATE("R49C",'Mapa final'!$R$145),"")</f>
        <v/>
      </c>
      <c r="N204" s="50" t="str">
        <f>IF(AND('Mapa final'!$AB$146="Baja",'Mapa final'!$AD$146="Menor"),CONCATENATE("R49C",'Mapa final'!$R$146),"")</f>
        <v/>
      </c>
      <c r="O204" s="111" t="str">
        <f>IF(AND('Mapa final'!$AB$147="Baja",'Mapa final'!$AD$147="Menor"),CONCATENATE("R49C",'Mapa final'!$R$147),"")</f>
        <v/>
      </c>
      <c r="P204" s="49" t="str">
        <f>IF(AND('Mapa final'!$AB$145="Baja",'Mapa final'!$AD$145="Moderado"),CONCATENATE("R49C",'Mapa final'!$R$145),"")</f>
        <v/>
      </c>
      <c r="Q204" s="50" t="str">
        <f>IF(AND('Mapa final'!$AB$146="Baja",'Mapa final'!$AD$146="Moderado"),CONCATENATE("R49C",'Mapa final'!$R$146),"")</f>
        <v/>
      </c>
      <c r="R204" s="111" t="str">
        <f>IF(AND('Mapa final'!$AB$147="Baja",'Mapa final'!$AD$147="Moderado"),CONCATENATE("R49C",'Mapa final'!$R$147),"")</f>
        <v/>
      </c>
      <c r="S204" s="105" t="str">
        <f>IF(AND('Mapa final'!$AB$145="Baja",'Mapa final'!$AD$145="Mayor"),CONCATENATE("R49C",'Mapa final'!$R$145),"")</f>
        <v/>
      </c>
      <c r="T204" s="42" t="str">
        <f>IF(AND('Mapa final'!$AB$146="Baja",'Mapa final'!$AD$146="Mayor"),CONCATENATE("R49C",'Mapa final'!$R$146),"")</f>
        <v/>
      </c>
      <c r="U204" s="106" t="str">
        <f>IF(AND('Mapa final'!$AB$147="Baja",'Mapa final'!$AD$147="Mayor"),CONCATENATE("R49C",'Mapa final'!$R$147),"")</f>
        <v/>
      </c>
      <c r="V204" s="43" t="str">
        <f>IF(AND('Mapa final'!$AB$145="Baja",'Mapa final'!$AD$145="Catastrófico"),CONCATENATE("R49C",'Mapa final'!$R$145),"")</f>
        <v/>
      </c>
      <c r="W204" s="44" t="str">
        <f>IF(AND('Mapa final'!$AB$146="Baja",'Mapa final'!$AD$146="Catastrófico"),CONCATENATE("R49C",'Mapa final'!$R$146),"")</f>
        <v/>
      </c>
      <c r="X204" s="100" t="str">
        <f>IF(AND('Mapa final'!$AB$147="Baja",'Mapa final'!$AD$147="Catastrófico"),CONCATENATE("R49C",'Mapa final'!$R$147),"")</f>
        <v/>
      </c>
      <c r="Y204" s="56"/>
      <c r="Z204" s="312"/>
      <c r="AA204" s="313"/>
      <c r="AB204" s="313"/>
      <c r="AC204" s="313"/>
      <c r="AD204" s="313"/>
      <c r="AE204" s="314"/>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row>
    <row r="205" spans="1:65" ht="15" customHeight="1" thickBot="1" x14ac:dyDescent="0.4">
      <c r="A205" s="56"/>
      <c r="B205" s="307"/>
      <c r="C205" s="307"/>
      <c r="D205" s="308"/>
      <c r="E205" s="284"/>
      <c r="F205" s="297"/>
      <c r="G205" s="297"/>
      <c r="H205" s="297"/>
      <c r="I205" s="279"/>
      <c r="J205" s="117" t="str">
        <f>IF(AND('Mapa final'!$AB$148="Baja",'Mapa final'!$AD$148="Leve"),CONCATENATE("R50C",'Mapa final'!$R$148),"")</f>
        <v/>
      </c>
      <c r="K205" s="55" t="str">
        <f>IF(AND('Mapa final'!$AB$149="Baja",'Mapa final'!$AD$149="Leve"),CONCATENATE("R50C",'Mapa final'!$R$149),"")</f>
        <v/>
      </c>
      <c r="L205" s="118" t="str">
        <f>IF(AND('Mapa final'!$AB$150="Baja",'Mapa final'!$AD$150="Leve"),CONCATENATE("R50C",'Mapa final'!$R$150),"")</f>
        <v/>
      </c>
      <c r="M205" s="51" t="str">
        <f>IF(AND('Mapa final'!$AB$148="Baja",'Mapa final'!$AD$148="Menor"),CONCATENATE("R50C",'Mapa final'!$R$148),"")</f>
        <v/>
      </c>
      <c r="N205" s="52" t="str">
        <f>IF(AND('Mapa final'!$AB$149="Baja",'Mapa final'!$AD$149="Menor"),CONCATENATE("R50C",'Mapa final'!$R$149),"")</f>
        <v/>
      </c>
      <c r="O205" s="112" t="str">
        <f>IF(AND('Mapa final'!$AB$150="Baja",'Mapa final'!$AD$150="Menor"),CONCATENATE("R50C",'Mapa final'!$R$150),"")</f>
        <v/>
      </c>
      <c r="P205" s="51" t="str">
        <f>IF(AND('Mapa final'!$AB$148="Baja",'Mapa final'!$AD$148="Moderado"),CONCATENATE("R50C",'Mapa final'!$R$148),"")</f>
        <v/>
      </c>
      <c r="Q205" s="52" t="str">
        <f>IF(AND('Mapa final'!$AB$149="Baja",'Mapa final'!$AD$149="Moderado"),CONCATENATE("R50C",'Mapa final'!$R$149),"")</f>
        <v/>
      </c>
      <c r="R205" s="112" t="str">
        <f>IF(AND('Mapa final'!$AB$150="Baja",'Mapa final'!$AD$150="Moderado"),CONCATENATE("R50C",'Mapa final'!$R$150),"")</f>
        <v/>
      </c>
      <c r="S205" s="107" t="str">
        <f>IF(AND('Mapa final'!$AB$148="Baja",'Mapa final'!$AD$148="Mayor"),CONCATENATE("R50C",'Mapa final'!$R$148),"")</f>
        <v/>
      </c>
      <c r="T205" s="108" t="str">
        <f>IF(AND('Mapa final'!$AB$149="Baja",'Mapa final'!$AD$149="Mayor"),CONCATENATE("R50C",'Mapa final'!$R$149),"")</f>
        <v/>
      </c>
      <c r="U205" s="109" t="str">
        <f>IF(AND('Mapa final'!$AB$150="Baja",'Mapa final'!$AD$150="Mayor"),CONCATENATE("R50C",'Mapa final'!$R$150),"")</f>
        <v/>
      </c>
      <c r="V205" s="45" t="str">
        <f>IF(AND('Mapa final'!$AB$148="Baja",'Mapa final'!$AD$148="Catastrófico"),CONCATENATE("R50C",'Mapa final'!$R$148),"")</f>
        <v/>
      </c>
      <c r="W205" s="46" t="str">
        <f>IF(AND('Mapa final'!$AB$149="Baja",'Mapa final'!$AD$149="Catastrófico"),CONCATENATE("R50C",'Mapa final'!$R$149),"")</f>
        <v/>
      </c>
      <c r="X205" s="101" t="str">
        <f>IF(AND('Mapa final'!$AB$150="Baja",'Mapa final'!$AD$150="Catastrófico"),CONCATENATE("R50C",'Mapa final'!$R$150),"")</f>
        <v/>
      </c>
      <c r="Y205" s="56"/>
      <c r="Z205" s="312"/>
      <c r="AA205" s="313"/>
      <c r="AB205" s="313"/>
      <c r="AC205" s="313"/>
      <c r="AD205" s="313"/>
      <c r="AE205" s="314"/>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row>
    <row r="206" spans="1:65" ht="16.5" customHeight="1" x14ac:dyDescent="0.35">
      <c r="A206" s="56"/>
      <c r="B206" s="307"/>
      <c r="C206" s="307"/>
      <c r="D206" s="308"/>
      <c r="E206" s="295" t="s">
        <v>104</v>
      </c>
      <c r="F206" s="296"/>
      <c r="G206" s="296"/>
      <c r="H206" s="296"/>
      <c r="I206" s="296"/>
      <c r="J206" s="113" t="str">
        <f>IF(AND('Mapa final'!$AB$7="Muy Baja",'Mapa final'!$AD$7="Leve"),CONCATENATE("R1C",'Mapa final'!$R$7),"")</f>
        <v/>
      </c>
      <c r="K206" s="53" t="str">
        <f>IF(AND('Mapa final'!$AB$8="Muy Baja",'Mapa final'!$AD$8="Leve"),CONCATENATE("R1C",'Mapa final'!$R$8),"")</f>
        <v/>
      </c>
      <c r="L206" s="114" t="str">
        <f>IF(AND('Mapa final'!$AB$9="Muy Baja",'Mapa final'!$AD$9="Leve"),CONCATENATE("R1C",'Mapa final'!$R$9),"")</f>
        <v/>
      </c>
      <c r="M206" s="113" t="str">
        <f>IF(AND('Mapa final'!$AB$7="Muy Baja",'Mapa final'!$AD$7="Menor"),CONCATENATE("R1C",'Mapa final'!$R$7),"")</f>
        <v/>
      </c>
      <c r="N206" s="53" t="str">
        <f>IF(AND('Mapa final'!$AB$8="Muy Baja",'Mapa final'!$AD$8="Menor"),CONCATENATE("R1C",'Mapa final'!$R$8),"")</f>
        <v/>
      </c>
      <c r="O206" s="114" t="str">
        <f>IF(AND('Mapa final'!$AB$9="Muy Baja",'Mapa final'!$AD$9="Menor"),CONCATENATE("R1C",'Mapa final'!$R$9),"")</f>
        <v/>
      </c>
      <c r="P206" s="47" t="str">
        <f>IF(AND('Mapa final'!$AB$7="Muy Baja",'Mapa final'!$AD$7="Moderado"),CONCATENATE("R1C",'Mapa final'!$R$7),"")</f>
        <v/>
      </c>
      <c r="Q206" s="48" t="str">
        <f>IF(AND('Mapa final'!$AB$8="Muy Baja",'Mapa final'!$AD$8="Moderado"),CONCATENATE("R1C",'Mapa final'!$R$8),"")</f>
        <v/>
      </c>
      <c r="R206" s="110" t="str">
        <f>IF(AND('Mapa final'!$AB$9="Muy Baja",'Mapa final'!$AD$9="Moderado"),CONCATENATE("R1C",'Mapa final'!$R$9),"")</f>
        <v/>
      </c>
      <c r="S206" s="102" t="str">
        <f>IF(AND('Mapa final'!$AB$7="Muy Baja",'Mapa final'!$AD$7="Mayor"),CONCATENATE("R1C",'Mapa final'!$R$7),"")</f>
        <v/>
      </c>
      <c r="T206" s="103" t="str">
        <f>IF(AND('Mapa final'!$AB$8="Muy Baja",'Mapa final'!$AD$8="Mayor"),CONCATENATE("R1C",'Mapa final'!$R$8),"")</f>
        <v/>
      </c>
      <c r="U206" s="104" t="str">
        <f>IF(AND('Mapa final'!$AB$9="Muy Baja",'Mapa final'!$AD$9="Mayor"),CONCATENATE("R1C",'Mapa final'!$R$9),"")</f>
        <v/>
      </c>
      <c r="V206" s="40" t="str">
        <f>IF(AND('Mapa final'!$AB$7="Muy Baja",'Mapa final'!$AD$7="Catastrófico"),CONCATENATE("R1C",'Mapa final'!$R$7),"")</f>
        <v/>
      </c>
      <c r="W206" s="41" t="str">
        <f>IF(AND('Mapa final'!$AB$8="Muy Baja",'Mapa final'!$AD$8="Catastrófico"),CONCATENATE("R1C",'Mapa final'!$R$8),"")</f>
        <v/>
      </c>
      <c r="X206" s="99" t="str">
        <f>IF(AND('Mapa final'!$AB$9="Muy Baja",'Mapa final'!$AD$9="Catastrófico"),CONCATENATE("R1C",'Mapa final'!$R$9),"")</f>
        <v/>
      </c>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row>
    <row r="207" spans="1:65" ht="15.5" x14ac:dyDescent="0.35">
      <c r="A207" s="56"/>
      <c r="B207" s="307"/>
      <c r="C207" s="307"/>
      <c r="D207" s="308"/>
      <c r="E207" s="283"/>
      <c r="F207" s="279"/>
      <c r="G207" s="279"/>
      <c r="H207" s="279"/>
      <c r="I207" s="279"/>
      <c r="J207" s="115" t="str">
        <f>IF(AND('Mapa final'!$AB$10="Muy Baja",'Mapa final'!$AD$10="Leve"),CONCATENATE("R2C",'Mapa final'!$R$10),"")</f>
        <v/>
      </c>
      <c r="K207" s="54" t="str">
        <f>IF(AND('Mapa final'!$AB$11="Muy Baja",'Mapa final'!$AD$11="Leve"),CONCATENATE("R2C",'Mapa final'!$R$11),"")</f>
        <v/>
      </c>
      <c r="L207" s="116" t="str">
        <f>IF(AND('Mapa final'!$AB$12="Muy Baja",'Mapa final'!$AD$12="Leve"),CONCATENATE("R2C",'Mapa final'!$R$12),"")</f>
        <v/>
      </c>
      <c r="M207" s="115" t="str">
        <f>IF(AND('Mapa final'!$AB$10="Muy Baja",'Mapa final'!$AD$10="Menor"),CONCATENATE("R2C",'Mapa final'!$R$10),"")</f>
        <v/>
      </c>
      <c r="N207" s="54" t="str">
        <f>IF(AND('Mapa final'!$AB$11="Muy Baja",'Mapa final'!$AD$11="Menor"),CONCATENATE("R2C",'Mapa final'!$R$11),"")</f>
        <v/>
      </c>
      <c r="O207" s="116" t="str">
        <f>IF(AND('Mapa final'!$AB$12="Muy Baja",'Mapa final'!$AD$12="Menor"),CONCATENATE("R2C",'Mapa final'!$R$12),"")</f>
        <v/>
      </c>
      <c r="P207" s="49" t="str">
        <f>IF(AND('Mapa final'!$AB$10="Muy Baja",'Mapa final'!$AD$10="Moderado"),CONCATENATE("R2C",'Mapa final'!$R$10),"")</f>
        <v/>
      </c>
      <c r="Q207" s="50" t="str">
        <f>IF(AND('Mapa final'!$AB$11="Muy Baja",'Mapa final'!$AD$11="Moderado"),CONCATENATE("R2C",'Mapa final'!$R$11),"")</f>
        <v/>
      </c>
      <c r="R207" s="111" t="str">
        <f>IF(AND('Mapa final'!$AB$12="Muy Baja",'Mapa final'!$AD$12="Moderado"),CONCATENATE("R2C",'Mapa final'!$R$12),"")</f>
        <v/>
      </c>
      <c r="S207" s="105" t="str">
        <f>IF(AND('Mapa final'!$AB$10="Muy Baja",'Mapa final'!$AD$10="Mayor"),CONCATENATE("R2C",'Mapa final'!$R$10),"")</f>
        <v/>
      </c>
      <c r="T207" s="42" t="str">
        <f>IF(AND('Mapa final'!$AB$11="Muy Baja",'Mapa final'!$AD$11="Mayor"),CONCATENATE("R2C",'Mapa final'!$R$11),"")</f>
        <v/>
      </c>
      <c r="U207" s="106" t="str">
        <f>IF(AND('Mapa final'!$AB$12="Muy Baja",'Mapa final'!$AD$12="Mayor"),CONCATENATE("R2C",'Mapa final'!$R$12),"")</f>
        <v/>
      </c>
      <c r="V207" s="43" t="str">
        <f>IF(AND('Mapa final'!$AB$10="Muy Baja",'Mapa final'!$AD$10="Catastrófico"),CONCATENATE("R2C",'Mapa final'!$R$10),"")</f>
        <v/>
      </c>
      <c r="W207" s="44" t="str">
        <f>IF(AND('Mapa final'!$AB$11="Muy Baja",'Mapa final'!$AD$11="Catastrófico"),CONCATENATE("R2C",'Mapa final'!$R$11),"")</f>
        <v/>
      </c>
      <c r="X207" s="100" t="str">
        <f>IF(AND('Mapa final'!$AB$12="Muy Baja",'Mapa final'!$AD$12="Catastrófico"),CONCATENATE("R2C",'Mapa final'!$R$12),"")</f>
        <v/>
      </c>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row>
    <row r="208" spans="1:65" ht="15.5" x14ac:dyDescent="0.35">
      <c r="A208" s="56"/>
      <c r="B208" s="307"/>
      <c r="C208" s="307"/>
      <c r="D208" s="308"/>
      <c r="E208" s="283"/>
      <c r="F208" s="279"/>
      <c r="G208" s="279"/>
      <c r="H208" s="279"/>
      <c r="I208" s="279"/>
      <c r="J208" s="115" t="str">
        <f>IF(AND('Mapa final'!$AB$13="Muy Baja",'Mapa final'!$AD$13="Leve"),CONCATENATE("R3C",'Mapa final'!$R$13),"")</f>
        <v/>
      </c>
      <c r="K208" s="54" t="str">
        <f>IF(AND('Mapa final'!$AB$14="Muy Baja",'Mapa final'!$AD$14="Leve"),CONCATENATE("R3C",'Mapa final'!$R$14),"")</f>
        <v/>
      </c>
      <c r="L208" s="116" t="str">
        <f>IF(AND('Mapa final'!$AB$15="Muy Baja",'Mapa final'!$AD$15="Leve"),CONCATENATE("R3C",'Mapa final'!$R$15),"")</f>
        <v/>
      </c>
      <c r="M208" s="115" t="str">
        <f>IF(AND('Mapa final'!$AB$13="Muy Baja",'Mapa final'!$AD$13="Menor"),CONCATENATE("R3C",'Mapa final'!$R$13),"")</f>
        <v/>
      </c>
      <c r="N208" s="54" t="str">
        <f>IF(AND('Mapa final'!$AB$14="Muy Baja",'Mapa final'!$AD$14="Menor"),CONCATENATE("R3C",'Mapa final'!$R$14),"")</f>
        <v/>
      </c>
      <c r="O208" s="116" t="str">
        <f>IF(AND('Mapa final'!$AB$15="Muy Baja",'Mapa final'!$AD$15="Menor"),CONCATENATE("R3C",'Mapa final'!$R$15),"")</f>
        <v/>
      </c>
      <c r="P208" s="49" t="str">
        <f>IF(AND('Mapa final'!$AB$13="Muy Baja",'Mapa final'!$AD$13="Moderado"),CONCATENATE("R3C",'Mapa final'!$R$13),"")</f>
        <v/>
      </c>
      <c r="Q208" s="50" t="str">
        <f>IF(AND('Mapa final'!$AB$14="Muy Baja",'Mapa final'!$AD$14="Moderado"),CONCATENATE("R3C",'Mapa final'!$R$14),"")</f>
        <v/>
      </c>
      <c r="R208" s="111" t="str">
        <f>IF(AND('Mapa final'!$AB$15="Muy Baja",'Mapa final'!$AD$15="Moderado"),CONCATENATE("R3C",'Mapa final'!$R$15),"")</f>
        <v/>
      </c>
      <c r="S208" s="105" t="str">
        <f>IF(AND('Mapa final'!$AB$13="Muy Baja",'Mapa final'!$AD$13="Mayor"),CONCATENATE("R3C",'Mapa final'!$R$13),"")</f>
        <v/>
      </c>
      <c r="T208" s="42" t="str">
        <f>IF(AND('Mapa final'!$AB$14="Muy Baja",'Mapa final'!$AD$14="Mayor"),CONCATENATE("R3C",'Mapa final'!$R$14),"")</f>
        <v/>
      </c>
      <c r="U208" s="106" t="str">
        <f>IF(AND('Mapa final'!$AB$15="Muy Baja",'Mapa final'!$AD$15="Mayor"),CONCATENATE("R3C",'Mapa final'!$R$15),"")</f>
        <v/>
      </c>
      <c r="V208" s="43" t="str">
        <f>IF(AND('Mapa final'!$AB$13="Muy Baja",'Mapa final'!$AD$13="Catastrófico"),CONCATENATE("R3C",'Mapa final'!$R$13),"")</f>
        <v/>
      </c>
      <c r="W208" s="44" t="str">
        <f>IF(AND('Mapa final'!$AB$14="Muy Baja",'Mapa final'!$AD$14="Catastrófico"),CONCATENATE("R3C",'Mapa final'!$R$14),"")</f>
        <v/>
      </c>
      <c r="X208" s="100" t="str">
        <f>IF(AND('Mapa final'!$AB$15="Muy Baja",'Mapa final'!$AD$15="Catastrófico"),CONCATENATE("R3C",'Mapa final'!$R$15),"")</f>
        <v/>
      </c>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row>
    <row r="209" spans="1:65" ht="15.5" x14ac:dyDescent="0.35">
      <c r="A209" s="56"/>
      <c r="B209" s="307"/>
      <c r="C209" s="307"/>
      <c r="D209" s="308"/>
      <c r="E209" s="283"/>
      <c r="F209" s="279"/>
      <c r="G209" s="279"/>
      <c r="H209" s="279"/>
      <c r="I209" s="279"/>
      <c r="J209" s="115" t="e">
        <f>IF(AND('Mapa final'!#REF!="Muy Baja",'Mapa final'!#REF!="Leve"),CONCATENATE("R4C",'Mapa final'!#REF!),"")</f>
        <v>#REF!</v>
      </c>
      <c r="K209" s="54" t="e">
        <f>IF(AND('Mapa final'!#REF!="Muy Baja",'Mapa final'!#REF!="Leve"),CONCATENATE("R4C",'Mapa final'!#REF!),"")</f>
        <v>#REF!</v>
      </c>
      <c r="L209" s="116" t="e">
        <f>IF(AND('Mapa final'!#REF!="Muy Baja",'Mapa final'!#REF!="Leve"),CONCATENATE("R4C",'Mapa final'!#REF!),"")</f>
        <v>#REF!</v>
      </c>
      <c r="M209" s="115" t="e">
        <f>IF(AND('Mapa final'!#REF!="Muy Baja",'Mapa final'!#REF!="Menor"),CONCATENATE("R4C",'Mapa final'!#REF!),"")</f>
        <v>#REF!</v>
      </c>
      <c r="N209" s="54" t="e">
        <f>IF(AND('Mapa final'!#REF!="Muy Baja",'Mapa final'!#REF!="Menor"),CONCATENATE("R4C",'Mapa final'!#REF!),"")</f>
        <v>#REF!</v>
      </c>
      <c r="O209" s="116" t="e">
        <f>IF(AND('Mapa final'!#REF!="Muy Baja",'Mapa final'!#REF!="Menor"),CONCATENATE("R4C",'Mapa final'!#REF!),"")</f>
        <v>#REF!</v>
      </c>
      <c r="P209" s="49" t="e">
        <f>IF(AND('Mapa final'!#REF!="Muy Baja",'Mapa final'!#REF!="Moderado"),CONCATENATE("R4C",'Mapa final'!#REF!),"")</f>
        <v>#REF!</v>
      </c>
      <c r="Q209" s="50" t="e">
        <f>IF(AND('Mapa final'!#REF!="Muy Baja",'Mapa final'!#REF!="Moderado"),CONCATENATE("R4C",'Mapa final'!#REF!),"")</f>
        <v>#REF!</v>
      </c>
      <c r="R209" s="111" t="e">
        <f>IF(AND('Mapa final'!#REF!="Muy Baja",'Mapa final'!#REF!="Moderado"),CONCATENATE("R4C",'Mapa final'!#REF!),"")</f>
        <v>#REF!</v>
      </c>
      <c r="S209" s="105" t="e">
        <f>IF(AND('Mapa final'!#REF!="Muy Baja",'Mapa final'!#REF!="Mayor"),CONCATENATE("R4C",'Mapa final'!#REF!),"")</f>
        <v>#REF!</v>
      </c>
      <c r="T209" s="42" t="e">
        <f>IF(AND('Mapa final'!#REF!="Muy Baja",'Mapa final'!#REF!="Mayor"),CONCATENATE("R4C",'Mapa final'!#REF!),"")</f>
        <v>#REF!</v>
      </c>
      <c r="U209" s="106" t="e">
        <f>IF(AND('Mapa final'!#REF!="Muy Baja",'Mapa final'!#REF!="Mayor"),CONCATENATE("R4C",'Mapa final'!#REF!),"")</f>
        <v>#REF!</v>
      </c>
      <c r="V209" s="43" t="e">
        <f>IF(AND('Mapa final'!#REF!="Muy Baja",'Mapa final'!#REF!="Catastrófico"),CONCATENATE("R4C",'Mapa final'!#REF!),"")</f>
        <v>#REF!</v>
      </c>
      <c r="W209" s="44" t="e">
        <f>IF(AND('Mapa final'!#REF!="Muy Baja",'Mapa final'!#REF!="Catastrófico"),CONCATENATE("R4C",'Mapa final'!#REF!),"")</f>
        <v>#REF!</v>
      </c>
      <c r="X209" s="100" t="e">
        <f>IF(AND('Mapa final'!#REF!="Muy Baja",'Mapa final'!#REF!="Catastrófico"),CONCATENATE("R4C",'Mapa final'!#REF!),"")</f>
        <v>#REF!</v>
      </c>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row>
    <row r="210" spans="1:65" ht="15.5" x14ac:dyDescent="0.35">
      <c r="A210" s="56"/>
      <c r="B210" s="307"/>
      <c r="C210" s="307"/>
      <c r="D210" s="308"/>
      <c r="E210" s="283"/>
      <c r="F210" s="279"/>
      <c r="G210" s="279"/>
      <c r="H210" s="279"/>
      <c r="I210" s="279"/>
      <c r="J210" s="115" t="e">
        <f>IF(AND('Mapa final'!#REF!="Muy Baja",'Mapa final'!#REF!="Leve"),CONCATENATE("R5C",'Mapa final'!#REF!),"")</f>
        <v>#REF!</v>
      </c>
      <c r="K210" s="54" t="e">
        <f>IF(AND('Mapa final'!#REF!="Muy Baja",'Mapa final'!#REF!="Leve"),CONCATENATE("R5C",'Mapa final'!#REF!),"")</f>
        <v>#REF!</v>
      </c>
      <c r="L210" s="116" t="e">
        <f>IF(AND('Mapa final'!#REF!="Muy Baja",'Mapa final'!#REF!="Leve"),CONCATENATE("R5C",'Mapa final'!#REF!),"")</f>
        <v>#REF!</v>
      </c>
      <c r="M210" s="115" t="e">
        <f>IF(AND('Mapa final'!#REF!="Muy Baja",'Mapa final'!#REF!="Menor"),CONCATENATE("R5C",'Mapa final'!#REF!),"")</f>
        <v>#REF!</v>
      </c>
      <c r="N210" s="54" t="e">
        <f>IF(AND('Mapa final'!#REF!="Muy Baja",'Mapa final'!#REF!="Menor"),CONCATENATE("R5C",'Mapa final'!#REF!),"")</f>
        <v>#REF!</v>
      </c>
      <c r="O210" s="116" t="e">
        <f>IF(AND('Mapa final'!#REF!="Muy Baja",'Mapa final'!#REF!="Menor"),CONCATENATE("R5C",'Mapa final'!#REF!),"")</f>
        <v>#REF!</v>
      </c>
      <c r="P210" s="49" t="e">
        <f>IF(AND('Mapa final'!#REF!="Muy Baja",'Mapa final'!#REF!="Moderado"),CONCATENATE("R5C",'Mapa final'!#REF!),"")</f>
        <v>#REF!</v>
      </c>
      <c r="Q210" s="50" t="e">
        <f>IF(AND('Mapa final'!#REF!="Muy Baja",'Mapa final'!#REF!="Moderado"),CONCATENATE("R5C",'Mapa final'!#REF!),"")</f>
        <v>#REF!</v>
      </c>
      <c r="R210" s="111" t="e">
        <f>IF(AND('Mapa final'!#REF!="Muy Baja",'Mapa final'!#REF!="Moderado"),CONCATENATE("R5C",'Mapa final'!#REF!),"")</f>
        <v>#REF!</v>
      </c>
      <c r="S210" s="105" t="e">
        <f>IF(AND('Mapa final'!#REF!="Muy Baja",'Mapa final'!#REF!="Mayor"),CONCATENATE("R5C",'Mapa final'!#REF!),"")</f>
        <v>#REF!</v>
      </c>
      <c r="T210" s="42" t="e">
        <f>IF(AND('Mapa final'!#REF!="Muy Baja",'Mapa final'!#REF!="Mayor"),CONCATENATE("R5C",'Mapa final'!#REF!),"")</f>
        <v>#REF!</v>
      </c>
      <c r="U210" s="106" t="e">
        <f>IF(AND('Mapa final'!#REF!="Muy Baja",'Mapa final'!#REF!="Mayor"),CONCATENATE("R5C",'Mapa final'!#REF!),"")</f>
        <v>#REF!</v>
      </c>
      <c r="V210" s="43" t="e">
        <f>IF(AND('Mapa final'!#REF!="Muy Baja",'Mapa final'!#REF!="Catastrófico"),CONCATENATE("R5C",'Mapa final'!#REF!),"")</f>
        <v>#REF!</v>
      </c>
      <c r="W210" s="44" t="e">
        <f>IF(AND('Mapa final'!#REF!="Muy Baja",'Mapa final'!#REF!="Catastrófico"),CONCATENATE("R5C",'Mapa final'!#REF!),"")</f>
        <v>#REF!</v>
      </c>
      <c r="X210" s="100" t="e">
        <f>IF(AND('Mapa final'!#REF!="Muy Baja",'Mapa final'!#REF!="Catastrófico"),CONCATENATE("R5C",'Mapa final'!#REF!),"")</f>
        <v>#REF!</v>
      </c>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row>
    <row r="211" spans="1:65" ht="15.5" x14ac:dyDescent="0.35">
      <c r="A211" s="56"/>
      <c r="B211" s="307"/>
      <c r="C211" s="307"/>
      <c r="D211" s="308"/>
      <c r="E211" s="283"/>
      <c r="F211" s="279"/>
      <c r="G211" s="279"/>
      <c r="H211" s="279"/>
      <c r="I211" s="279"/>
      <c r="J211" s="115" t="str">
        <f>IF(AND('Mapa final'!$AB$16="Muy Baja",'Mapa final'!$AD$16="Leve"),CONCATENATE("R6C",'Mapa final'!$R$16),"")</f>
        <v/>
      </c>
      <c r="K211" s="54" t="str">
        <f>IF(AND('Mapa final'!$AB$17="Muy Baja",'Mapa final'!$AD$17="Leve"),CONCATENATE("R6C",'Mapa final'!$R$17),"")</f>
        <v/>
      </c>
      <c r="L211" s="116" t="str">
        <f>IF(AND('Mapa final'!$AB$18="Muy Baja",'Mapa final'!$AD$18="Leve"),CONCATENATE("R6C",'Mapa final'!$R$18),"")</f>
        <v/>
      </c>
      <c r="M211" s="115" t="str">
        <f>IF(AND('Mapa final'!$AB$16="Muy Baja",'Mapa final'!$AD$16="Menor"),CONCATENATE("R6C",'Mapa final'!$R$16),"")</f>
        <v/>
      </c>
      <c r="N211" s="54" t="str">
        <f>IF(AND('Mapa final'!$AB$17="Muy Baja",'Mapa final'!$AD$17="Menor"),CONCATENATE("R6C",'Mapa final'!$R$17),"")</f>
        <v/>
      </c>
      <c r="O211" s="116" t="str">
        <f>IF(AND('Mapa final'!$AB$18="Muy Baja",'Mapa final'!$AD$18="Menor"),CONCATENATE("R6C",'Mapa final'!$R$18),"")</f>
        <v/>
      </c>
      <c r="P211" s="49" t="str">
        <f>IF(AND('Mapa final'!$AB$16="Muy Baja",'Mapa final'!$AD$16="Moderado"),CONCATENATE("R6C",'Mapa final'!$R$16),"")</f>
        <v>R6C1</v>
      </c>
      <c r="Q211" s="50" t="str">
        <f>IF(AND('Mapa final'!$AB$17="Muy Baja",'Mapa final'!$AD$17="Moderado"),CONCATENATE("R6C",'Mapa final'!$R$17),"")</f>
        <v/>
      </c>
      <c r="R211" s="111" t="str">
        <f>IF(AND('Mapa final'!$AB$18="Muy Baja",'Mapa final'!$AD$18="Moderado"),CONCATENATE("R6C",'Mapa final'!$R$18),"")</f>
        <v/>
      </c>
      <c r="S211" s="105" t="str">
        <f>IF(AND('Mapa final'!$AB$16="Muy Baja",'Mapa final'!$AD$16="Mayor"),CONCATENATE("R6C",'Mapa final'!$R$16),"")</f>
        <v/>
      </c>
      <c r="T211" s="42" t="str">
        <f>IF(AND('Mapa final'!$AB$17="Muy Baja",'Mapa final'!$AD$17="Mayor"),CONCATENATE("R6C",'Mapa final'!$R$17),"")</f>
        <v/>
      </c>
      <c r="U211" s="106" t="str">
        <f>IF(AND('Mapa final'!$AB$18="Muy Baja",'Mapa final'!$AD$18="Mayor"),CONCATENATE("R6C",'Mapa final'!$R$18),"")</f>
        <v/>
      </c>
      <c r="V211" s="43" t="str">
        <f>IF(AND('Mapa final'!$AB$16="Muy Baja",'Mapa final'!$AD$16="Catastrófico"),CONCATENATE("R6C",'Mapa final'!$R$16),"")</f>
        <v/>
      </c>
      <c r="W211" s="44" t="str">
        <f>IF(AND('Mapa final'!$AB$17="Muy Baja",'Mapa final'!$AD$17="Catastrófico"),CONCATENATE("R6C",'Mapa final'!$R$17),"")</f>
        <v/>
      </c>
      <c r="X211" s="100" t="str">
        <f>IF(AND('Mapa final'!$AB$18="Muy Baja",'Mapa final'!$AD$18="Catastrófico"),CONCATENATE("R6C",'Mapa final'!$R$18),"")</f>
        <v/>
      </c>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row>
    <row r="212" spans="1:65" ht="15.5" x14ac:dyDescent="0.35">
      <c r="A212" s="56"/>
      <c r="B212" s="307"/>
      <c r="C212" s="307"/>
      <c r="D212" s="308"/>
      <c r="E212" s="283"/>
      <c r="F212" s="279"/>
      <c r="G212" s="279"/>
      <c r="H212" s="279"/>
      <c r="I212" s="279"/>
      <c r="J212" s="115" t="str">
        <f>IF(AND('Mapa final'!$AB$19="Muy Baja",'Mapa final'!$AD$19="Leve"),CONCATENATE("R7C",'Mapa final'!$R$19),"")</f>
        <v/>
      </c>
      <c r="K212" s="54" t="str">
        <f>IF(AND('Mapa final'!$AB$20="Muy Baja",'Mapa final'!$AD$20="Leve"),CONCATENATE("R7C",'Mapa final'!$R$20),"")</f>
        <v/>
      </c>
      <c r="L212" s="116" t="str">
        <f>IF(AND('Mapa final'!$AB$21="Muy Baja",'Mapa final'!$AD$21="Leve"),CONCATENATE("R7C",'Mapa final'!$R$21),"")</f>
        <v/>
      </c>
      <c r="M212" s="115" t="str">
        <f>IF(AND('Mapa final'!$AB$19="Muy Baja",'Mapa final'!$AD$19="Menor"),CONCATENATE("R7C",'Mapa final'!$R$19),"")</f>
        <v/>
      </c>
      <c r="N212" s="54" t="str">
        <f>IF(AND('Mapa final'!$AB$20="Muy Baja",'Mapa final'!$AD$20="Menor"),CONCATENATE("R7C",'Mapa final'!$R$20),"")</f>
        <v/>
      </c>
      <c r="O212" s="116" t="str">
        <f>IF(AND('Mapa final'!$AB$21="Muy Baja",'Mapa final'!$AD$21="Menor"),CONCATENATE("R7C",'Mapa final'!$R$21),"")</f>
        <v/>
      </c>
      <c r="P212" s="49" t="str">
        <f>IF(AND('Mapa final'!$AB$19="Muy Baja",'Mapa final'!$AD$19="Moderado"),CONCATENATE("R7C",'Mapa final'!$R$19),"")</f>
        <v>R7C1</v>
      </c>
      <c r="Q212" s="50" t="str">
        <f>IF(AND('Mapa final'!$AB$20="Muy Baja",'Mapa final'!$AD$20="Moderado"),CONCATENATE("R7C",'Mapa final'!$R$20),"")</f>
        <v/>
      </c>
      <c r="R212" s="111" t="str">
        <f>IF(AND('Mapa final'!$AB$21="Muy Baja",'Mapa final'!$AD$21="Moderado"),CONCATENATE("R7C",'Mapa final'!$R$21),"")</f>
        <v/>
      </c>
      <c r="S212" s="105" t="str">
        <f>IF(AND('Mapa final'!$AB$19="Muy Baja",'Mapa final'!$AD$19="Mayor"),CONCATENATE("R7C",'Mapa final'!$R$19),"")</f>
        <v/>
      </c>
      <c r="T212" s="42" t="str">
        <f>IF(AND('Mapa final'!$AB$20="Muy Baja",'Mapa final'!$AD$20="Mayor"),CONCATENATE("R7C",'Mapa final'!$R$20),"")</f>
        <v/>
      </c>
      <c r="U212" s="106" t="str">
        <f>IF(AND('Mapa final'!$AB$21="Muy Baja",'Mapa final'!$AD$21="Mayor"),CONCATENATE("R7C",'Mapa final'!$R$21),"")</f>
        <v/>
      </c>
      <c r="V212" s="43" t="str">
        <f>IF(AND('Mapa final'!$AB$19="Muy Baja",'Mapa final'!$AD$19="Catastrófico"),CONCATENATE("R7C",'Mapa final'!$R$19),"")</f>
        <v/>
      </c>
      <c r="W212" s="44" t="str">
        <f>IF(AND('Mapa final'!$AB$20="Muy Baja",'Mapa final'!$AD$20="Catastrófico"),CONCATENATE("R7C",'Mapa final'!$R$20),"")</f>
        <v/>
      </c>
      <c r="X212" s="100" t="str">
        <f>IF(AND('Mapa final'!$AB$21="Muy Baja",'Mapa final'!$AD$21="Catastrófico"),CONCATENATE("R7C",'Mapa final'!$R$21),"")</f>
        <v/>
      </c>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row>
    <row r="213" spans="1:65" ht="15.5" x14ac:dyDescent="0.35">
      <c r="A213" s="56"/>
      <c r="B213" s="307"/>
      <c r="C213" s="307"/>
      <c r="D213" s="308"/>
      <c r="E213" s="283"/>
      <c r="F213" s="279"/>
      <c r="G213" s="279"/>
      <c r="H213" s="279"/>
      <c r="I213" s="279"/>
      <c r="J213" s="115" t="str">
        <f>IF(AND('Mapa final'!$AB$22="Muy Baja",'Mapa final'!$AD$22="Leve"),CONCATENATE("R8C",'Mapa final'!$R$22),"")</f>
        <v/>
      </c>
      <c r="K213" s="54" t="str">
        <f>IF(AND('Mapa final'!$AB$23="Muy Baja",'Mapa final'!$AD$23="Leve"),CONCATENATE("R8C",'Mapa final'!$R$23),"")</f>
        <v/>
      </c>
      <c r="L213" s="116" t="str">
        <f>IF(AND('Mapa final'!$AB$24="Muy Baja",'Mapa final'!$AD$24="Leve"),CONCATENATE("R8C",'Mapa final'!$R$24),"")</f>
        <v/>
      </c>
      <c r="M213" s="115" t="str">
        <f>IF(AND('Mapa final'!$AB$22="Muy Baja",'Mapa final'!$AD$22="Menor"),CONCATENATE("R8C",'Mapa final'!$R$22),"")</f>
        <v/>
      </c>
      <c r="N213" s="54" t="str">
        <f>IF(AND('Mapa final'!$AB$23="Muy Baja",'Mapa final'!$AD$23="Menor"),CONCATENATE("R8C",'Mapa final'!$R$23),"")</f>
        <v/>
      </c>
      <c r="O213" s="116" t="str">
        <f>IF(AND('Mapa final'!$AB$24="Muy Baja",'Mapa final'!$AD$24="Menor"),CONCATENATE("R8C",'Mapa final'!$R$24),"")</f>
        <v/>
      </c>
      <c r="P213" s="49" t="str">
        <f>IF(AND('Mapa final'!$AB$22="Muy Baja",'Mapa final'!$AD$22="Moderado"),CONCATENATE("R8C",'Mapa final'!$R$22),"")</f>
        <v/>
      </c>
      <c r="Q213" s="50" t="str">
        <f>IF(AND('Mapa final'!$AB$23="Muy Baja",'Mapa final'!$AD$23="Moderado"),CONCATENATE("R8C",'Mapa final'!$R$23),"")</f>
        <v/>
      </c>
      <c r="R213" s="111" t="str">
        <f>IF(AND('Mapa final'!$AB$24="Muy Baja",'Mapa final'!$AD$24="Moderado"),CONCATENATE("R8C",'Mapa final'!$R$24),"")</f>
        <v/>
      </c>
      <c r="S213" s="105" t="str">
        <f>IF(AND('Mapa final'!$AB$22="Muy Baja",'Mapa final'!$AD$22="Mayor"),CONCATENATE("R8C",'Mapa final'!$R$22),"")</f>
        <v/>
      </c>
      <c r="T213" s="42" t="str">
        <f>IF(AND('Mapa final'!$AB$23="Muy Baja",'Mapa final'!$AD$23="Mayor"),CONCATENATE("R8C",'Mapa final'!$R$23),"")</f>
        <v/>
      </c>
      <c r="U213" s="106" t="str">
        <f>IF(AND('Mapa final'!$AB$24="Muy Baja",'Mapa final'!$AD$24="Mayor"),CONCATENATE("R8C",'Mapa final'!$R$24),"")</f>
        <v/>
      </c>
      <c r="V213" s="43" t="str">
        <f>IF(AND('Mapa final'!$AB$22="Muy Baja",'Mapa final'!$AD$22="Catastrófico"),CONCATENATE("R8C",'Mapa final'!$R$22),"")</f>
        <v/>
      </c>
      <c r="W213" s="44" t="str">
        <f>IF(AND('Mapa final'!$AB$23="Muy Baja",'Mapa final'!$AD$23="Catastrófico"),CONCATENATE("R8C",'Mapa final'!$R$23),"")</f>
        <v/>
      </c>
      <c r="X213" s="100" t="str">
        <f>IF(AND('Mapa final'!$AB$24="Muy Baja",'Mapa final'!$AD$24="Catastrófico"),CONCATENATE("R8C",'Mapa final'!$R$24),"")</f>
        <v/>
      </c>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row>
    <row r="214" spans="1:65" ht="15.5" x14ac:dyDescent="0.35">
      <c r="A214" s="56"/>
      <c r="B214" s="307"/>
      <c r="C214" s="307"/>
      <c r="D214" s="308"/>
      <c r="E214" s="283"/>
      <c r="F214" s="279"/>
      <c r="G214" s="279"/>
      <c r="H214" s="279"/>
      <c r="I214" s="279"/>
      <c r="J214" s="115" t="str">
        <f>IF(AND('Mapa final'!$AB$25="Muy Baja",'Mapa final'!$AD$25="Leve"),CONCATENATE("R9C",'Mapa final'!$R$25),"")</f>
        <v/>
      </c>
      <c r="K214" s="54" t="str">
        <f>IF(AND('Mapa final'!$AB$26="Muy Baja",'Mapa final'!$AD$26="Leve"),CONCATENATE("R9C",'Mapa final'!$R$26),"")</f>
        <v/>
      </c>
      <c r="L214" s="116" t="str">
        <f>IF(AND('Mapa final'!$AB$27="Muy Baja",'Mapa final'!$AD$27="Leve"),CONCATENATE("R9C",'Mapa final'!$R$27),"")</f>
        <v/>
      </c>
      <c r="M214" s="115" t="str">
        <f>IF(AND('Mapa final'!$AB$25="Muy Baja",'Mapa final'!$AD$25="Menor"),CONCATENATE("R9C",'Mapa final'!$R$25),"")</f>
        <v/>
      </c>
      <c r="N214" s="54" t="str">
        <f>IF(AND('Mapa final'!$AB$26="Muy Baja",'Mapa final'!$AD$26="Menor"),CONCATENATE("R9C",'Mapa final'!$R$26),"")</f>
        <v/>
      </c>
      <c r="O214" s="116" t="str">
        <f>IF(AND('Mapa final'!$AB$27="Muy Baja",'Mapa final'!$AD$27="Menor"),CONCATENATE("R9C",'Mapa final'!$R$27),"")</f>
        <v/>
      </c>
      <c r="P214" s="49" t="str">
        <f>IF(AND('Mapa final'!$AB$25="Muy Baja",'Mapa final'!$AD$25="Moderado"),CONCATENATE("R9C",'Mapa final'!$R$25),"")</f>
        <v/>
      </c>
      <c r="Q214" s="50" t="str">
        <f>IF(AND('Mapa final'!$AB$26="Muy Baja",'Mapa final'!$AD$26="Moderado"),CONCATENATE("R9C",'Mapa final'!$R$26),"")</f>
        <v/>
      </c>
      <c r="R214" s="111" t="str">
        <f>IF(AND('Mapa final'!$AB$27="Muy Baja",'Mapa final'!$AD$27="Moderado"),CONCATENATE("R9C",'Mapa final'!$R$27),"")</f>
        <v/>
      </c>
      <c r="S214" s="105" t="str">
        <f>IF(AND('Mapa final'!$AB$25="Muy Baja",'Mapa final'!$AD$25="Mayor"),CONCATENATE("R9C",'Mapa final'!$R$25),"")</f>
        <v/>
      </c>
      <c r="T214" s="42" t="str">
        <f>IF(AND('Mapa final'!$AB$26="Muy Baja",'Mapa final'!$AD$26="Mayor"),CONCATENATE("R9C",'Mapa final'!$R$26),"")</f>
        <v/>
      </c>
      <c r="U214" s="106" t="str">
        <f>IF(AND('Mapa final'!$AB$27="Muy Baja",'Mapa final'!$AD$27="Mayor"),CONCATENATE("R9C",'Mapa final'!$R$27),"")</f>
        <v/>
      </c>
      <c r="V214" s="43" t="str">
        <f>IF(AND('Mapa final'!$AB$25="Muy Baja",'Mapa final'!$AD$25="Catastrófico"),CONCATENATE("R9C",'Mapa final'!$R$25),"")</f>
        <v/>
      </c>
      <c r="W214" s="44" t="str">
        <f>IF(AND('Mapa final'!$AB$26="Muy Baja",'Mapa final'!$AD$26="Catastrófico"),CONCATENATE("R9C",'Mapa final'!$R$26),"")</f>
        <v/>
      </c>
      <c r="X214" s="100" t="str">
        <f>IF(AND('Mapa final'!$AB$27="Muy Baja",'Mapa final'!$AD$27="Catastrófico"),CONCATENATE("R9C",'Mapa final'!$R$27),"")</f>
        <v/>
      </c>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row>
    <row r="215" spans="1:65" ht="15.5" x14ac:dyDescent="0.35">
      <c r="A215" s="56"/>
      <c r="B215" s="307"/>
      <c r="C215" s="307"/>
      <c r="D215" s="308"/>
      <c r="E215" s="283"/>
      <c r="F215" s="279"/>
      <c r="G215" s="279"/>
      <c r="H215" s="279"/>
      <c r="I215" s="279"/>
      <c r="J215" s="115" t="str">
        <f>IF(AND('Mapa final'!$AB$28="Muy Baja",'Mapa final'!$AD$28="Leve"),CONCATENATE("R10C",'Mapa final'!$R$28),"")</f>
        <v/>
      </c>
      <c r="K215" s="54" t="str">
        <f>IF(AND('Mapa final'!$AB$29="Muy Baja",'Mapa final'!$AD$29="Leve"),CONCATENATE("R10C",'Mapa final'!$R$29),"")</f>
        <v/>
      </c>
      <c r="L215" s="116" t="str">
        <f>IF(AND('Mapa final'!$AB$30="Muy Baja",'Mapa final'!$AD$30="Leve"),CONCATENATE("R10C",'Mapa final'!$R$30),"")</f>
        <v/>
      </c>
      <c r="M215" s="115" t="str">
        <f>IF(AND('Mapa final'!$AB$28="Muy Baja",'Mapa final'!$AD$28="Menor"),CONCATENATE("R10C",'Mapa final'!$R$28),"")</f>
        <v/>
      </c>
      <c r="N215" s="54" t="str">
        <f>IF(AND('Mapa final'!$AB$29="Muy Baja",'Mapa final'!$AD$29="Menor"),CONCATENATE("R10C",'Mapa final'!$R$29),"")</f>
        <v/>
      </c>
      <c r="O215" s="116" t="str">
        <f>IF(AND('Mapa final'!$AB$30="Muy Baja",'Mapa final'!$AD$30="Menor"),CONCATENATE("R10C",'Mapa final'!$R$30),"")</f>
        <v/>
      </c>
      <c r="P215" s="49" t="str">
        <f>IF(AND('Mapa final'!$AB$28="Muy Baja",'Mapa final'!$AD$28="Moderado"),CONCATENATE("R10C",'Mapa final'!$R$28),"")</f>
        <v/>
      </c>
      <c r="Q215" s="50" t="str">
        <f>IF(AND('Mapa final'!$AB$29="Muy Baja",'Mapa final'!$AD$29="Moderado"),CONCATENATE("R10C",'Mapa final'!$R$29),"")</f>
        <v/>
      </c>
      <c r="R215" s="111" t="str">
        <f>IF(AND('Mapa final'!$AB$30="Muy Baja",'Mapa final'!$AD$30="Moderado"),CONCATENATE("R10C",'Mapa final'!$R$30),"")</f>
        <v/>
      </c>
      <c r="S215" s="105" t="str">
        <f>IF(AND('Mapa final'!$AB$28="Muy Baja",'Mapa final'!$AD$28="Mayor"),CONCATENATE("R10C",'Mapa final'!$R$28),"")</f>
        <v/>
      </c>
      <c r="T215" s="42" t="str">
        <f>IF(AND('Mapa final'!$AB$29="Muy Baja",'Mapa final'!$AD$29="Mayor"),CONCATENATE("R10C",'Mapa final'!$R$29),"")</f>
        <v/>
      </c>
      <c r="U215" s="106" t="str">
        <f>IF(AND('Mapa final'!$AB$30="Muy Baja",'Mapa final'!$AD$30="Mayor"),CONCATENATE("R10C",'Mapa final'!$R$30),"")</f>
        <v/>
      </c>
      <c r="V215" s="43" t="str">
        <f>IF(AND('Mapa final'!$AB$28="Muy Baja",'Mapa final'!$AD$28="Catastrófico"),CONCATENATE("R10C",'Mapa final'!$R$28),"")</f>
        <v/>
      </c>
      <c r="W215" s="44" t="str">
        <f>IF(AND('Mapa final'!$AB$29="Muy Baja",'Mapa final'!$AD$29="Catastrófico"),CONCATENATE("R10C",'Mapa final'!$R$29),"")</f>
        <v/>
      </c>
      <c r="X215" s="100" t="str">
        <f>IF(AND('Mapa final'!$AB$30="Muy Baja",'Mapa final'!$AD$30="Catastrófico"),CONCATENATE("R10C",'Mapa final'!$R$30),"")</f>
        <v/>
      </c>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row>
    <row r="216" spans="1:65" ht="15.5" x14ac:dyDescent="0.35">
      <c r="A216" s="56"/>
      <c r="B216" s="307"/>
      <c r="C216" s="307"/>
      <c r="D216" s="308"/>
      <c r="E216" s="283"/>
      <c r="F216" s="279"/>
      <c r="G216" s="279"/>
      <c r="H216" s="279"/>
      <c r="I216" s="279"/>
      <c r="J216" s="115" t="str">
        <f>IF(AND('Mapa final'!$AB$31="Muy Baja",'Mapa final'!$AD$31="Leve"),CONCATENATE("R11C",'Mapa final'!$R$31),"")</f>
        <v/>
      </c>
      <c r="K216" s="54" t="str">
        <f>IF(AND('Mapa final'!$AB$32="Muy Baja",'Mapa final'!$AD$32="Leve"),CONCATENATE("R11C",'Mapa final'!$R$32),"")</f>
        <v/>
      </c>
      <c r="L216" s="116" t="str">
        <f>IF(AND('Mapa final'!$AB$33="Muy Baja",'Mapa final'!$AD$33="Leve"),CONCATENATE("R11C",'Mapa final'!$R$33),"")</f>
        <v/>
      </c>
      <c r="M216" s="115" t="str">
        <f>IF(AND('Mapa final'!$AB$31="Muy Baja",'Mapa final'!$AD$31="Menor"),CONCATENATE("R11C",'Mapa final'!$R$31),"")</f>
        <v/>
      </c>
      <c r="N216" s="54" t="str">
        <f>IF(AND('Mapa final'!$AB$32="Muy Baja",'Mapa final'!$AD$32="Menor"),CONCATENATE("R11C",'Mapa final'!$R$32),"")</f>
        <v/>
      </c>
      <c r="O216" s="116" t="str">
        <f>IF(AND('Mapa final'!$AB$33="Muy Baja",'Mapa final'!$AD$33="Menor"),CONCATENATE("R11C",'Mapa final'!$R$33),"")</f>
        <v/>
      </c>
      <c r="P216" s="49" t="str">
        <f>IF(AND('Mapa final'!$AB$31="Muy Baja",'Mapa final'!$AD$31="Moderado"),CONCATENATE("R11C",'Mapa final'!$R$31),"")</f>
        <v/>
      </c>
      <c r="Q216" s="50" t="str">
        <f>IF(AND('Mapa final'!$AB$32="Muy Baja",'Mapa final'!$AD$32="Moderado"),CONCATENATE("R11C",'Mapa final'!$R$32),"")</f>
        <v/>
      </c>
      <c r="R216" s="111" t="str">
        <f>IF(AND('Mapa final'!$AB$33="Muy Baja",'Mapa final'!$AD$33="Moderado"),CONCATENATE("R11C",'Mapa final'!$R$33),"")</f>
        <v/>
      </c>
      <c r="S216" s="105" t="str">
        <f>IF(AND('Mapa final'!$AB$31="Muy Baja",'Mapa final'!$AD$31="Mayor"),CONCATENATE("R11C",'Mapa final'!$R$31),"")</f>
        <v/>
      </c>
      <c r="T216" s="42" t="str">
        <f>IF(AND('Mapa final'!$AB$32="Muy Baja",'Mapa final'!$AD$32="Mayor"),CONCATENATE("R11C",'Mapa final'!$R$32),"")</f>
        <v/>
      </c>
      <c r="U216" s="106" t="str">
        <f>IF(AND('Mapa final'!$AB$33="Muy Baja",'Mapa final'!$AD$33="Mayor"),CONCATENATE("R11C",'Mapa final'!$R$33),"")</f>
        <v/>
      </c>
      <c r="V216" s="43" t="str">
        <f>IF(AND('Mapa final'!$AB$31="Muy Baja",'Mapa final'!$AD$31="Catastrófico"),CONCATENATE("R11C",'Mapa final'!$R$31),"")</f>
        <v/>
      </c>
      <c r="W216" s="44" t="str">
        <f>IF(AND('Mapa final'!$AB$32="Muy Baja",'Mapa final'!$AD$32="Catastrófico"),CONCATENATE("R11C",'Mapa final'!$R$32),"")</f>
        <v/>
      </c>
      <c r="X216" s="100" t="str">
        <f>IF(AND('Mapa final'!$AB$33="Muy Baja",'Mapa final'!$AD$33="Catastrófico"),CONCATENATE("R11C",'Mapa final'!$R$33),"")</f>
        <v/>
      </c>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row>
    <row r="217" spans="1:65" ht="15.5" x14ac:dyDescent="0.35">
      <c r="A217" s="56"/>
      <c r="B217" s="307"/>
      <c r="C217" s="307"/>
      <c r="D217" s="308"/>
      <c r="E217" s="283"/>
      <c r="F217" s="279"/>
      <c r="G217" s="279"/>
      <c r="H217" s="279"/>
      <c r="I217" s="279"/>
      <c r="J217" s="115" t="str">
        <f>IF(AND('Mapa final'!$AB$34="Muy Baja",'Mapa final'!$AD$34="Leve"),CONCATENATE("R12C",'Mapa final'!$R$34),"")</f>
        <v/>
      </c>
      <c r="K217" s="54" t="str">
        <f>IF(AND('Mapa final'!$AB$35="Muy Baja",'Mapa final'!$AD$35="Leve"),CONCATENATE("R12C",'Mapa final'!$R$35),"")</f>
        <v/>
      </c>
      <c r="L217" s="116" t="str">
        <f>IF(AND('Mapa final'!$AB$36="Muy Baja",'Mapa final'!$AD$36="Leve"),CONCATENATE("R12C",'Mapa final'!$R$36),"")</f>
        <v/>
      </c>
      <c r="M217" s="115" t="str">
        <f>IF(AND('Mapa final'!$AB$34="Muy Baja",'Mapa final'!$AD$34="Menor"),CONCATENATE("R12C",'Mapa final'!$R$34),"")</f>
        <v/>
      </c>
      <c r="N217" s="54" t="str">
        <f>IF(AND('Mapa final'!$AB$35="Muy Baja",'Mapa final'!$AD$35="Menor"),CONCATENATE("R12C",'Mapa final'!$R$35),"")</f>
        <v/>
      </c>
      <c r="O217" s="116" t="str">
        <f>IF(AND('Mapa final'!$AB$36="Muy Baja",'Mapa final'!$AD$36="Menor"),CONCATENATE("R12C",'Mapa final'!$R$36),"")</f>
        <v/>
      </c>
      <c r="P217" s="49" t="str">
        <f>IF(AND('Mapa final'!$AB$34="Muy Baja",'Mapa final'!$AD$34="Moderado"),CONCATENATE("R12C",'Mapa final'!$R$34),"")</f>
        <v/>
      </c>
      <c r="Q217" s="50" t="str">
        <f>IF(AND('Mapa final'!$AB$35="Muy Baja",'Mapa final'!$AD$35="Moderado"),CONCATENATE("R12C",'Mapa final'!$R$35),"")</f>
        <v/>
      </c>
      <c r="R217" s="111" t="str">
        <f>IF(AND('Mapa final'!$AB$36="Muy Baja",'Mapa final'!$AD$36="Moderado"),CONCATENATE("R12C",'Mapa final'!$R$36),"")</f>
        <v/>
      </c>
      <c r="S217" s="105" t="str">
        <f>IF(AND('Mapa final'!$AB$34="Muy Baja",'Mapa final'!$AD$34="Mayor"),CONCATENATE("R12C",'Mapa final'!$R$34),"")</f>
        <v/>
      </c>
      <c r="T217" s="42" t="str">
        <f>IF(AND('Mapa final'!$AB$35="Muy Baja",'Mapa final'!$AD$35="Mayor"),CONCATENATE("R12C",'Mapa final'!$R$35),"")</f>
        <v/>
      </c>
      <c r="U217" s="106" t="str">
        <f>IF(AND('Mapa final'!$AB$36="Muy Baja",'Mapa final'!$AD$36="Mayor"),CONCATENATE("R12C",'Mapa final'!$R$36),"")</f>
        <v/>
      </c>
      <c r="V217" s="43" t="str">
        <f>IF(AND('Mapa final'!$AB$34="Muy Baja",'Mapa final'!$AD$34="Catastrófico"),CONCATENATE("R12C",'Mapa final'!$R$34),"")</f>
        <v/>
      </c>
      <c r="W217" s="44" t="str">
        <f>IF(AND('Mapa final'!$AB$35="Muy Baja",'Mapa final'!$AD$35="Catastrófico"),CONCATENATE("R12C",'Mapa final'!$R$35),"")</f>
        <v/>
      </c>
      <c r="X217" s="100" t="str">
        <f>IF(AND('Mapa final'!$AB$36="Muy Baja",'Mapa final'!$AD$36="Catastrófico"),CONCATENATE("R12C",'Mapa final'!$R$36),"")</f>
        <v/>
      </c>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row>
    <row r="218" spans="1:65" ht="15.5" x14ac:dyDescent="0.35">
      <c r="A218" s="56"/>
      <c r="B218" s="307"/>
      <c r="C218" s="307"/>
      <c r="D218" s="308"/>
      <c r="E218" s="283"/>
      <c r="F218" s="279"/>
      <c r="G218" s="279"/>
      <c r="H218" s="279"/>
      <c r="I218" s="279"/>
      <c r="J218" s="115" t="str">
        <f>IF(AND('Mapa final'!$AB$37="Muy Baja",'Mapa final'!$AD$37="Leve"),CONCATENATE("R13C",'Mapa final'!$R$37),"")</f>
        <v/>
      </c>
      <c r="K218" s="54" t="str">
        <f>IF(AND('Mapa final'!$AB$38="Muy Baja",'Mapa final'!$AD$38="Leve"),CONCATENATE("R13C",'Mapa final'!$R$38),"")</f>
        <v/>
      </c>
      <c r="L218" s="116" t="str">
        <f>IF(AND('Mapa final'!$AB$39="Muy Baja",'Mapa final'!$AD$39="Leve"),CONCATENATE("R13C",'Mapa final'!$R$39),"")</f>
        <v/>
      </c>
      <c r="M218" s="115" t="str">
        <f>IF(AND('Mapa final'!$AB$37="Muy Baja",'Mapa final'!$AD$37="Menor"),CONCATENATE("R13C",'Mapa final'!$R$37),"")</f>
        <v/>
      </c>
      <c r="N218" s="54" t="str">
        <f>IF(AND('Mapa final'!$AB$38="Muy Baja",'Mapa final'!$AD$38="Menor"),CONCATENATE("R13C",'Mapa final'!$R$38),"")</f>
        <v/>
      </c>
      <c r="O218" s="116" t="str">
        <f>IF(AND('Mapa final'!$AB$39="Muy Baja",'Mapa final'!$AD$39="Menor"),CONCATENATE("R13C",'Mapa final'!$R$39),"")</f>
        <v/>
      </c>
      <c r="P218" s="49" t="str">
        <f>IF(AND('Mapa final'!$AB$37="Muy Baja",'Mapa final'!$AD$37="Moderado"),CONCATENATE("R13C",'Mapa final'!$R$37),"")</f>
        <v>R13C1</v>
      </c>
      <c r="Q218" s="50" t="str">
        <f>IF(AND('Mapa final'!$AB$38="Muy Baja",'Mapa final'!$AD$38="Moderado"),CONCATENATE("R13C",'Mapa final'!$R$38),"")</f>
        <v/>
      </c>
      <c r="R218" s="111" t="str">
        <f>IF(AND('Mapa final'!$AB$39="Muy Baja",'Mapa final'!$AD$39="Moderado"),CONCATENATE("R13C",'Mapa final'!$R$39),"")</f>
        <v/>
      </c>
      <c r="S218" s="105" t="str">
        <f>IF(AND('Mapa final'!$AB$37="Muy Baja",'Mapa final'!$AD$37="Mayor"),CONCATENATE("R13C",'Mapa final'!$R$37),"")</f>
        <v/>
      </c>
      <c r="T218" s="42" t="str">
        <f>IF(AND('Mapa final'!$AB$38="Muy Baja",'Mapa final'!$AD$38="Mayor"),CONCATENATE("R13C",'Mapa final'!$R$38),"")</f>
        <v/>
      </c>
      <c r="U218" s="106" t="str">
        <f>IF(AND('Mapa final'!$AB$39="Muy Baja",'Mapa final'!$AD$39="Mayor"),CONCATENATE("R13C",'Mapa final'!$R$39),"")</f>
        <v/>
      </c>
      <c r="V218" s="43" t="str">
        <f>IF(AND('Mapa final'!$AB$37="Muy Baja",'Mapa final'!$AD$37="Catastrófico"),CONCATENATE("R13C",'Mapa final'!$R$37),"")</f>
        <v/>
      </c>
      <c r="W218" s="44" t="str">
        <f>IF(AND('Mapa final'!$AB$38="Muy Baja",'Mapa final'!$AD$38="Catastrófico"),CONCATENATE("R13C",'Mapa final'!$R$38),"")</f>
        <v/>
      </c>
      <c r="X218" s="100" t="str">
        <f>IF(AND('Mapa final'!$AB$39="Muy Baja",'Mapa final'!$AD$39="Catastrófico"),CONCATENATE("R13C",'Mapa final'!$R$39),"")</f>
        <v/>
      </c>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row>
    <row r="219" spans="1:65" ht="15.5" x14ac:dyDescent="0.35">
      <c r="A219" s="56"/>
      <c r="B219" s="307"/>
      <c r="C219" s="307"/>
      <c r="D219" s="308"/>
      <c r="E219" s="283"/>
      <c r="F219" s="279"/>
      <c r="G219" s="279"/>
      <c r="H219" s="279"/>
      <c r="I219" s="279"/>
      <c r="J219" s="115" t="str">
        <f>IF(AND('Mapa final'!$AB$40="Muy Baja",'Mapa final'!$AD$40="Leve"),CONCATENATE("R14C",'Mapa final'!$R$40),"")</f>
        <v/>
      </c>
      <c r="K219" s="54" t="str">
        <f>IF(AND('Mapa final'!$AB$41="Muy Baja",'Mapa final'!$AD$41="Leve"),CONCATENATE("R14C",'Mapa final'!$R$41),"")</f>
        <v/>
      </c>
      <c r="L219" s="116" t="str">
        <f>IF(AND('Mapa final'!$AB$42="Muy Baja",'Mapa final'!$AD$42="Leve"),CONCATENATE("R14C",'Mapa final'!$R$42),"")</f>
        <v/>
      </c>
      <c r="M219" s="115" t="str">
        <f>IF(AND('Mapa final'!$AB$40="Muy Baja",'Mapa final'!$AD$40="Menor"),CONCATENATE("R14C",'Mapa final'!$R$40),"")</f>
        <v/>
      </c>
      <c r="N219" s="54" t="str">
        <f>IF(AND('Mapa final'!$AB$41="Muy Baja",'Mapa final'!$AD$41="Menor"),CONCATENATE("R14C",'Mapa final'!$R$41),"")</f>
        <v/>
      </c>
      <c r="O219" s="116" t="str">
        <f>IF(AND('Mapa final'!$AB$42="Muy Baja",'Mapa final'!$AD$42="Menor"),CONCATENATE("R14C",'Mapa final'!$R$42),"")</f>
        <v/>
      </c>
      <c r="P219" s="49" t="str">
        <f>IF(AND('Mapa final'!$AB$40="Muy Baja",'Mapa final'!$AD$40="Moderado"),CONCATENATE("R14C",'Mapa final'!$R$40),"")</f>
        <v/>
      </c>
      <c r="Q219" s="50" t="str">
        <f>IF(AND('Mapa final'!$AB$41="Muy Baja",'Mapa final'!$AD$41="Moderado"),CONCATENATE("R14C",'Mapa final'!$R$41),"")</f>
        <v>R14C2</v>
      </c>
      <c r="R219" s="111" t="str">
        <f>IF(AND('Mapa final'!$AB$42="Muy Baja",'Mapa final'!$AD$42="Moderado"),CONCATENATE("R14C",'Mapa final'!$R$42),"")</f>
        <v/>
      </c>
      <c r="S219" s="105" t="str">
        <f>IF(AND('Mapa final'!$AB$40="Muy Baja",'Mapa final'!$AD$40="Mayor"),CONCATENATE("R14C",'Mapa final'!$R$40),"")</f>
        <v/>
      </c>
      <c r="T219" s="42" t="str">
        <f>IF(AND('Mapa final'!$AB$41="Muy Baja",'Mapa final'!$AD$41="Mayor"),CONCATENATE("R14C",'Mapa final'!$R$41),"")</f>
        <v/>
      </c>
      <c r="U219" s="106" t="str">
        <f>IF(AND('Mapa final'!$AB$42="Muy Baja",'Mapa final'!$AD$42="Mayor"),CONCATENATE("R14C",'Mapa final'!$R$42),"")</f>
        <v/>
      </c>
      <c r="V219" s="43" t="str">
        <f>IF(AND('Mapa final'!$AB$40="Muy Baja",'Mapa final'!$AD$40="Catastrófico"),CONCATENATE("R14C",'Mapa final'!$R$40),"")</f>
        <v/>
      </c>
      <c r="W219" s="44" t="str">
        <f>IF(AND('Mapa final'!$AB$41="Muy Baja",'Mapa final'!$AD$41="Catastrófico"),CONCATENATE("R14C",'Mapa final'!$R$41),"")</f>
        <v/>
      </c>
      <c r="X219" s="100" t="str">
        <f>IF(AND('Mapa final'!$AB$42="Muy Baja",'Mapa final'!$AD$42="Catastrófico"),CONCATENATE("R14C",'Mapa final'!$R$42),"")</f>
        <v/>
      </c>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row>
    <row r="220" spans="1:65" ht="15.5" x14ac:dyDescent="0.35">
      <c r="A220" s="56"/>
      <c r="B220" s="307"/>
      <c r="C220" s="307"/>
      <c r="D220" s="308"/>
      <c r="E220" s="283"/>
      <c r="F220" s="279"/>
      <c r="G220" s="279"/>
      <c r="H220" s="279"/>
      <c r="I220" s="279"/>
      <c r="J220" s="115" t="str">
        <f>IF(AND('Mapa final'!$AB$43="Muy Baja",'Mapa final'!$AD$43="Leve"),CONCATENATE("R15C",'Mapa final'!$R$43),"")</f>
        <v/>
      </c>
      <c r="K220" s="54" t="str">
        <f>IF(AND('Mapa final'!$AB$44="Muy Baja",'Mapa final'!$AD$44="Leve"),CONCATENATE("R15C",'Mapa final'!$R$44),"")</f>
        <v/>
      </c>
      <c r="L220" s="116" t="str">
        <f>IF(AND('Mapa final'!$AB$45="Muy Baja",'Mapa final'!$AD$45="Leve"),CONCATENATE("R15C",'Mapa final'!$R$45),"")</f>
        <v/>
      </c>
      <c r="M220" s="115" t="str">
        <f>IF(AND('Mapa final'!$AB$43="Muy Baja",'Mapa final'!$AD$43="Menor"),CONCATENATE("R15C",'Mapa final'!$R$43),"")</f>
        <v/>
      </c>
      <c r="N220" s="54" t="str">
        <f>IF(AND('Mapa final'!$AB$44="Muy Baja",'Mapa final'!$AD$44="Menor"),CONCATENATE("R15C",'Mapa final'!$R$44),"")</f>
        <v/>
      </c>
      <c r="O220" s="116" t="str">
        <f>IF(AND('Mapa final'!$AB$45="Muy Baja",'Mapa final'!$AD$45="Menor"),CONCATENATE("R15C",'Mapa final'!$R$45),"")</f>
        <v/>
      </c>
      <c r="P220" s="49" t="str">
        <f>IF(AND('Mapa final'!$AB$43="Muy Baja",'Mapa final'!$AD$43="Moderado"),CONCATENATE("R15C",'Mapa final'!$R$43),"")</f>
        <v/>
      </c>
      <c r="Q220" s="50" t="str">
        <f>IF(AND('Mapa final'!$AB$44="Muy Baja",'Mapa final'!$AD$44="Moderado"),CONCATENATE("R15C",'Mapa final'!$R$44),"")</f>
        <v/>
      </c>
      <c r="R220" s="111" t="str">
        <f>IF(AND('Mapa final'!$AB$45="Muy Baja",'Mapa final'!$AD$45="Moderado"),CONCATENATE("R15C",'Mapa final'!$R$45),"")</f>
        <v/>
      </c>
      <c r="S220" s="105" t="str">
        <f>IF(AND('Mapa final'!$AB$43="Muy Baja",'Mapa final'!$AD$43="Mayor"),CONCATENATE("R15C",'Mapa final'!$R$43),"")</f>
        <v/>
      </c>
      <c r="T220" s="42" t="str">
        <f>IF(AND('Mapa final'!$AB$44="Muy Baja",'Mapa final'!$AD$44="Mayor"),CONCATENATE("R15C",'Mapa final'!$R$44),"")</f>
        <v/>
      </c>
      <c r="U220" s="106" t="str">
        <f>IF(AND('Mapa final'!$AB$45="Muy Baja",'Mapa final'!$AD$45="Mayor"),CONCATENATE("R15C",'Mapa final'!$R$45),"")</f>
        <v/>
      </c>
      <c r="V220" s="43" t="str">
        <f>IF(AND('Mapa final'!$AB$43="Muy Baja",'Mapa final'!$AD$43="Catastrófico"),CONCATENATE("R15C",'Mapa final'!$R$43),"")</f>
        <v/>
      </c>
      <c r="W220" s="44" t="str">
        <f>IF(AND('Mapa final'!$AB$44="Muy Baja",'Mapa final'!$AD$44="Catastrófico"),CONCATENATE("R15C",'Mapa final'!$R$44),"")</f>
        <v/>
      </c>
      <c r="X220" s="100" t="str">
        <f>IF(AND('Mapa final'!$AB$45="Muy Baja",'Mapa final'!$AD$45="Catastrófico"),CONCATENATE("R15C",'Mapa final'!$R$45),"")</f>
        <v/>
      </c>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row>
    <row r="221" spans="1:65" ht="15.5" x14ac:dyDescent="0.35">
      <c r="A221" s="56"/>
      <c r="B221" s="307"/>
      <c r="C221" s="307"/>
      <c r="D221" s="308"/>
      <c r="E221" s="283"/>
      <c r="F221" s="279"/>
      <c r="G221" s="279"/>
      <c r="H221" s="279"/>
      <c r="I221" s="279"/>
      <c r="J221" s="115" t="str">
        <f>IF(AND('Mapa final'!$AB$46="Muy Baja",'Mapa final'!$AD$46="Leve"),CONCATENATE("R16C",'Mapa final'!$R$46),"")</f>
        <v/>
      </c>
      <c r="K221" s="54" t="str">
        <f>IF(AND('Mapa final'!$AB$47="Muy Baja",'Mapa final'!$AD$47="Leve"),CONCATENATE("R16C",'Mapa final'!$R$47),"")</f>
        <v/>
      </c>
      <c r="L221" s="116" t="str">
        <f>IF(AND('Mapa final'!$AB$48="Muy Baja",'Mapa final'!$AD$48="Leve"),CONCATENATE("R16C",'Mapa final'!$R$48),"")</f>
        <v/>
      </c>
      <c r="M221" s="115" t="str">
        <f>IF(AND('Mapa final'!$AB$46="Muy Baja",'Mapa final'!$AD$46="Menor"),CONCATENATE("R16C",'Mapa final'!$R$46),"")</f>
        <v/>
      </c>
      <c r="N221" s="54" t="str">
        <f>IF(AND('Mapa final'!$AB$47="Muy Baja",'Mapa final'!$AD$47="Menor"),CONCATENATE("R16C",'Mapa final'!$R$47),"")</f>
        <v/>
      </c>
      <c r="O221" s="116" t="str">
        <f>IF(AND('Mapa final'!$AB$48="Muy Baja",'Mapa final'!$AD$48="Menor"),CONCATENATE("R16C",'Mapa final'!$R$48),"")</f>
        <v/>
      </c>
      <c r="P221" s="49" t="str">
        <f>IF(AND('Mapa final'!$AB$46="Muy Baja",'Mapa final'!$AD$46="Moderado"),CONCATENATE("R16C",'Mapa final'!$R$46),"")</f>
        <v/>
      </c>
      <c r="Q221" s="50" t="str">
        <f>IF(AND('Mapa final'!$AB$47="Muy Baja",'Mapa final'!$AD$47="Moderado"),CONCATENATE("R16C",'Mapa final'!$R$47),"")</f>
        <v/>
      </c>
      <c r="R221" s="111" t="str">
        <f>IF(AND('Mapa final'!$AB$48="Muy Baja",'Mapa final'!$AD$48="Moderado"),CONCATENATE("R16C",'Mapa final'!$R$48),"")</f>
        <v/>
      </c>
      <c r="S221" s="105" t="str">
        <f>IF(AND('Mapa final'!$AB$46="Muy Baja",'Mapa final'!$AD$46="Mayor"),CONCATENATE("R16C",'Mapa final'!$R$46),"")</f>
        <v/>
      </c>
      <c r="T221" s="42" t="str">
        <f>IF(AND('Mapa final'!$AB$47="Muy Baja",'Mapa final'!$AD$47="Mayor"),CONCATENATE("R16C",'Mapa final'!$R$47),"")</f>
        <v/>
      </c>
      <c r="U221" s="106" t="str">
        <f>IF(AND('Mapa final'!$AB$48="Muy Baja",'Mapa final'!$AD$48="Mayor"),CONCATENATE("R16C",'Mapa final'!$R$48),"")</f>
        <v/>
      </c>
      <c r="V221" s="43" t="str">
        <f>IF(AND('Mapa final'!$AB$46="Muy Baja",'Mapa final'!$AD$46="Catastrófico"),CONCATENATE("R16C",'Mapa final'!$R$46),"")</f>
        <v/>
      </c>
      <c r="W221" s="44" t="str">
        <f>IF(AND('Mapa final'!$AB$47="Muy Baja",'Mapa final'!$AD$47="Catastrófico"),CONCATENATE("R16C",'Mapa final'!$R$47),"")</f>
        <v/>
      </c>
      <c r="X221" s="100" t="str">
        <f>IF(AND('Mapa final'!$AB$48="Muy Baja",'Mapa final'!$AD$48="Catastrófico"),CONCATENATE("R16C",'Mapa final'!$R$48),"")</f>
        <v/>
      </c>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row>
    <row r="222" spans="1:65" ht="15.5" x14ac:dyDescent="0.35">
      <c r="A222" s="56"/>
      <c r="B222" s="307"/>
      <c r="C222" s="307"/>
      <c r="D222" s="308"/>
      <c r="E222" s="283"/>
      <c r="F222" s="279"/>
      <c r="G222" s="279"/>
      <c r="H222" s="279"/>
      <c r="I222" s="279"/>
      <c r="J222" s="115" t="str">
        <f>IF(AND('Mapa final'!$AB$49="Muy Baja",'Mapa final'!$AD$49="Leve"),CONCATENATE("R17C",'Mapa final'!$R$49),"")</f>
        <v/>
      </c>
      <c r="K222" s="54" t="str">
        <f>IF(AND('Mapa final'!$AB$50="Muy Baja",'Mapa final'!$AD$50="Leve"),CONCATENATE("R17C",'Mapa final'!$R$50),"")</f>
        <v/>
      </c>
      <c r="L222" s="116" t="str">
        <f>IF(AND('Mapa final'!$AB$51="Muy Baja",'Mapa final'!$AD$51="Leve"),CONCATENATE("R17C",'Mapa final'!$R$51),"")</f>
        <v/>
      </c>
      <c r="M222" s="115" t="str">
        <f>IF(AND('Mapa final'!$AB$49="Muy Baja",'Mapa final'!$AD$49="Menor"),CONCATENATE("R17C",'Mapa final'!$R$49),"")</f>
        <v/>
      </c>
      <c r="N222" s="54" t="str">
        <f>IF(AND('Mapa final'!$AB$50="Muy Baja",'Mapa final'!$AD$50="Menor"),CONCATENATE("R17C",'Mapa final'!$R$50),"")</f>
        <v/>
      </c>
      <c r="O222" s="116" t="str">
        <f>IF(AND('Mapa final'!$AB$51="Muy Baja",'Mapa final'!$AD$51="Menor"),CONCATENATE("R17C",'Mapa final'!$R$51),"")</f>
        <v/>
      </c>
      <c r="P222" s="49" t="str">
        <f>IF(AND('Mapa final'!$AB$49="Muy Baja",'Mapa final'!$AD$49="Moderado"),CONCATENATE("R17C",'Mapa final'!$R$49),"")</f>
        <v/>
      </c>
      <c r="Q222" s="50" t="str">
        <f>IF(AND('Mapa final'!$AB$50="Muy Baja",'Mapa final'!$AD$50="Moderado"),CONCATENATE("R17C",'Mapa final'!$R$50),"")</f>
        <v/>
      </c>
      <c r="R222" s="111" t="str">
        <f>IF(AND('Mapa final'!$AB$51="Muy Baja",'Mapa final'!$AD$51="Moderado"),CONCATENATE("R17C",'Mapa final'!$R$51),"")</f>
        <v/>
      </c>
      <c r="S222" s="105" t="str">
        <f>IF(AND('Mapa final'!$AB$49="Muy Baja",'Mapa final'!$AD$49="Mayor"),CONCATENATE("R17C",'Mapa final'!$R$49),"")</f>
        <v/>
      </c>
      <c r="T222" s="42" t="str">
        <f>IF(AND('Mapa final'!$AB$50="Muy Baja",'Mapa final'!$AD$50="Mayor"),CONCATENATE("R17C",'Mapa final'!$R$50),"")</f>
        <v/>
      </c>
      <c r="U222" s="106" t="str">
        <f>IF(AND('Mapa final'!$AB$51="Muy Baja",'Mapa final'!$AD$51="Mayor"),CONCATENATE("R17C",'Mapa final'!$R$51),"")</f>
        <v/>
      </c>
      <c r="V222" s="43" t="str">
        <f>IF(AND('Mapa final'!$AB$49="Muy Baja",'Mapa final'!$AD$49="Catastrófico"),CONCATENATE("R17C",'Mapa final'!$R$49),"")</f>
        <v/>
      </c>
      <c r="W222" s="44" t="str">
        <f>IF(AND('Mapa final'!$AB$50="Muy Baja",'Mapa final'!$AD$50="Catastrófico"),CONCATENATE("R17C",'Mapa final'!$R$50),"")</f>
        <v/>
      </c>
      <c r="X222" s="100" t="str">
        <f>IF(AND('Mapa final'!$AB$51="Muy Baja",'Mapa final'!$AD$51="Catastrófico"),CONCATENATE("R17C",'Mapa final'!$R$51),"")</f>
        <v/>
      </c>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row>
    <row r="223" spans="1:65" ht="15.5" x14ac:dyDescent="0.35">
      <c r="A223" s="56"/>
      <c r="B223" s="307"/>
      <c r="C223" s="307"/>
      <c r="D223" s="308"/>
      <c r="E223" s="283"/>
      <c r="F223" s="279"/>
      <c r="G223" s="279"/>
      <c r="H223" s="279"/>
      <c r="I223" s="279"/>
      <c r="J223" s="115" t="str">
        <f>IF(AND('Mapa final'!$AB$52="Muy Baja",'Mapa final'!$AD$52="Leve"),CONCATENATE("R18C",'Mapa final'!$R$52),"")</f>
        <v/>
      </c>
      <c r="K223" s="54" t="str">
        <f>IF(AND('Mapa final'!$AB$53="Muy Baja",'Mapa final'!$AD$53="Leve"),CONCATENATE("R18C",'Mapa final'!$R$53),"")</f>
        <v/>
      </c>
      <c r="L223" s="116" t="str">
        <f>IF(AND('Mapa final'!$AB$54="Muy Baja",'Mapa final'!$AD$54="Leve"),CONCATENATE("R18C",'Mapa final'!$R$54),"")</f>
        <v/>
      </c>
      <c r="M223" s="115" t="str">
        <f>IF(AND('Mapa final'!$AB$52="Muy Baja",'Mapa final'!$AD$52="Menor"),CONCATENATE("R18C",'Mapa final'!$R$52),"")</f>
        <v/>
      </c>
      <c r="N223" s="54" t="str">
        <f>IF(AND('Mapa final'!$AB$53="Muy Baja",'Mapa final'!$AD$53="Menor"),CONCATENATE("R18C",'Mapa final'!$R$53),"")</f>
        <v/>
      </c>
      <c r="O223" s="116" t="str">
        <f>IF(AND('Mapa final'!$AB$54="Muy Baja",'Mapa final'!$AD$54="Menor"),CONCATENATE("R18C",'Mapa final'!$R$54),"")</f>
        <v/>
      </c>
      <c r="P223" s="49" t="str">
        <f>IF(AND('Mapa final'!$AB$52="Muy Baja",'Mapa final'!$AD$52="Moderado"),CONCATENATE("R18C",'Mapa final'!$R$52),"")</f>
        <v/>
      </c>
      <c r="Q223" s="50" t="str">
        <f>IF(AND('Mapa final'!$AB$53="Muy Baja",'Mapa final'!$AD$53="Moderado"),CONCATENATE("R18C",'Mapa final'!$R$53),"")</f>
        <v/>
      </c>
      <c r="R223" s="111" t="str">
        <f>IF(AND('Mapa final'!$AB$54="Muy Baja",'Mapa final'!$AD$54="Moderado"),CONCATENATE("R18C",'Mapa final'!$R$54),"")</f>
        <v/>
      </c>
      <c r="S223" s="105" t="str">
        <f>IF(AND('Mapa final'!$AB$52="Muy Baja",'Mapa final'!$AD$52="Mayor"),CONCATENATE("R18C",'Mapa final'!$R$52),"")</f>
        <v/>
      </c>
      <c r="T223" s="42" t="str">
        <f>IF(AND('Mapa final'!$AB$53="Muy Baja",'Mapa final'!$AD$53="Mayor"),CONCATENATE("R18C",'Mapa final'!$R$53),"")</f>
        <v/>
      </c>
      <c r="U223" s="106" t="str">
        <f>IF(AND('Mapa final'!$AB$54="Muy Baja",'Mapa final'!$AD$54="Mayor"),CONCATENATE("R18C",'Mapa final'!$R$54),"")</f>
        <v/>
      </c>
      <c r="V223" s="43" t="str">
        <f>IF(AND('Mapa final'!$AB$52="Muy Baja",'Mapa final'!$AD$52="Catastrófico"),CONCATENATE("R18C",'Mapa final'!$R$52),"")</f>
        <v/>
      </c>
      <c r="W223" s="44" t="str">
        <f>IF(AND('Mapa final'!$AB$53="Muy Baja",'Mapa final'!$AD$53="Catastrófico"),CONCATENATE("R18C",'Mapa final'!$R$53),"")</f>
        <v/>
      </c>
      <c r="X223" s="100" t="str">
        <f>IF(AND('Mapa final'!$AB$54="Muy Baja",'Mapa final'!$AD$54="Catastrófico"),CONCATENATE("R18C",'Mapa final'!$R$54),"")</f>
        <v/>
      </c>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row>
    <row r="224" spans="1:65" ht="15.5" x14ac:dyDescent="0.35">
      <c r="A224" s="56"/>
      <c r="B224" s="307"/>
      <c r="C224" s="307"/>
      <c r="D224" s="308"/>
      <c r="E224" s="283"/>
      <c r="F224" s="279"/>
      <c r="G224" s="279"/>
      <c r="H224" s="279"/>
      <c r="I224" s="279"/>
      <c r="J224" s="115" t="str">
        <f>IF(AND('Mapa final'!$AB$55="Muy Baja",'Mapa final'!$AD$55="Leve"),CONCATENATE("R19C",'Mapa final'!$R$55),"")</f>
        <v/>
      </c>
      <c r="K224" s="54" t="str">
        <f>IF(AND('Mapa final'!$AB$56="Muy Baja",'Mapa final'!$AD$56="Leve"),CONCATENATE("R19C",'Mapa final'!$R$56),"")</f>
        <v/>
      </c>
      <c r="L224" s="116" t="str">
        <f>IF(AND('Mapa final'!$AB$57="Muy Baja",'Mapa final'!$AD$57="Leve"),CONCATENATE("R19C",'Mapa final'!$R$57),"")</f>
        <v/>
      </c>
      <c r="M224" s="115" t="str">
        <f>IF(AND('Mapa final'!$AB$55="Muy Baja",'Mapa final'!$AD$55="Menor"),CONCATENATE("R19C",'Mapa final'!$R$55),"")</f>
        <v/>
      </c>
      <c r="N224" s="54" t="str">
        <f>IF(AND('Mapa final'!$AB$56="Muy Baja",'Mapa final'!$AD$56="Menor"),CONCATENATE("R19C",'Mapa final'!$R$56),"")</f>
        <v/>
      </c>
      <c r="O224" s="116" t="str">
        <f>IF(AND('Mapa final'!$AB$57="Muy Baja",'Mapa final'!$AD$57="Menor"),CONCATENATE("R19C",'Mapa final'!$R$57),"")</f>
        <v/>
      </c>
      <c r="P224" s="49" t="str">
        <f>IF(AND('Mapa final'!$AB$55="Muy Baja",'Mapa final'!$AD$55="Moderado"),CONCATENATE("R19C",'Mapa final'!$R$55),"")</f>
        <v/>
      </c>
      <c r="Q224" s="50" t="str">
        <f>IF(AND('Mapa final'!$AB$56="Muy Baja",'Mapa final'!$AD$56="Moderado"),CONCATENATE("R19C",'Mapa final'!$R$56),"")</f>
        <v/>
      </c>
      <c r="R224" s="111" t="str">
        <f>IF(AND('Mapa final'!$AB$57="Muy Baja",'Mapa final'!$AD$57="Moderado"),CONCATENATE("R19C",'Mapa final'!$R$57),"")</f>
        <v/>
      </c>
      <c r="S224" s="105" t="str">
        <f>IF(AND('Mapa final'!$AB$55="Muy Baja",'Mapa final'!$AD$55="Mayor"),CONCATENATE("R19C",'Mapa final'!$R$55),"")</f>
        <v/>
      </c>
      <c r="T224" s="42" t="str">
        <f>IF(AND('Mapa final'!$AB$56="Muy Baja",'Mapa final'!$AD$56="Mayor"),CONCATENATE("R19C",'Mapa final'!$R$56),"")</f>
        <v/>
      </c>
      <c r="U224" s="106" t="str">
        <f>IF(AND('Mapa final'!$AB$57="Muy Baja",'Mapa final'!$AD$57="Mayor"),CONCATENATE("R19C",'Mapa final'!$R$57),"")</f>
        <v/>
      </c>
      <c r="V224" s="43" t="str">
        <f>IF(AND('Mapa final'!$AB$55="Muy Baja",'Mapa final'!$AD$55="Catastrófico"),CONCATENATE("R19C",'Mapa final'!$R$55),"")</f>
        <v/>
      </c>
      <c r="W224" s="44" t="str">
        <f>IF(AND('Mapa final'!$AB$56="Muy Baja",'Mapa final'!$AD$56="Catastrófico"),CONCATENATE("R19C",'Mapa final'!$R$56),"")</f>
        <v/>
      </c>
      <c r="X224" s="100" t="str">
        <f>IF(AND('Mapa final'!$AB$57="Muy Baja",'Mapa final'!$AD$57="Catastrófico"),CONCATENATE("R19C",'Mapa final'!$R$57),"")</f>
        <v/>
      </c>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row>
    <row r="225" spans="1:65" ht="15.5" x14ac:dyDescent="0.35">
      <c r="A225" s="56"/>
      <c r="B225" s="307"/>
      <c r="C225" s="307"/>
      <c r="D225" s="308"/>
      <c r="E225" s="283"/>
      <c r="F225" s="279"/>
      <c r="G225" s="279"/>
      <c r="H225" s="279"/>
      <c r="I225" s="279"/>
      <c r="J225" s="115" t="str">
        <f>IF(AND('Mapa final'!$AB$58="Muy Baja",'Mapa final'!$AD$58="Leve"),CONCATENATE("R20C",'Mapa final'!$R$58),"")</f>
        <v/>
      </c>
      <c r="K225" s="54" t="str">
        <f>IF(AND('Mapa final'!$AB$59="Muy Baja",'Mapa final'!$AD$59="Leve"),CONCATENATE("R20C",'Mapa final'!$R$59),"")</f>
        <v/>
      </c>
      <c r="L225" s="116" t="str">
        <f>IF(AND('Mapa final'!$AB$60="Muy Baja",'Mapa final'!$AD$60="Leve"),CONCATENATE("R20C",'Mapa final'!$R$60),"")</f>
        <v/>
      </c>
      <c r="M225" s="115" t="str">
        <f>IF(AND('Mapa final'!$AB$58="Muy Baja",'Mapa final'!$AD$58="Menor"),CONCATENATE("R20C",'Mapa final'!$R$58),"")</f>
        <v/>
      </c>
      <c r="N225" s="54" t="str">
        <f>IF(AND('Mapa final'!$AB$59="Muy Baja",'Mapa final'!$AD$59="Menor"),CONCATENATE("R20C",'Mapa final'!$R$59),"")</f>
        <v/>
      </c>
      <c r="O225" s="116" t="str">
        <f>IF(AND('Mapa final'!$AB$60="Muy Baja",'Mapa final'!$AD$60="Menor"),CONCATENATE("R20C",'Mapa final'!$R$60),"")</f>
        <v/>
      </c>
      <c r="P225" s="49" t="str">
        <f>IF(AND('Mapa final'!$AB$58="Muy Baja",'Mapa final'!$AD$58="Moderado"),CONCATENATE("R20C",'Mapa final'!$R$58),"")</f>
        <v/>
      </c>
      <c r="Q225" s="50" t="str">
        <f>IF(AND('Mapa final'!$AB$59="Muy Baja",'Mapa final'!$AD$59="Moderado"),CONCATENATE("R20C",'Mapa final'!$R$59),"")</f>
        <v/>
      </c>
      <c r="R225" s="111" t="str">
        <f>IF(AND('Mapa final'!$AB$60="Muy Baja",'Mapa final'!$AD$60="Moderado"),CONCATENATE("R20C",'Mapa final'!$R$60),"")</f>
        <v/>
      </c>
      <c r="S225" s="105" t="str">
        <f>IF(AND('Mapa final'!$AB$58="Muy Baja",'Mapa final'!$AD$58="Mayor"),CONCATENATE("R20C",'Mapa final'!$R$58),"")</f>
        <v/>
      </c>
      <c r="T225" s="42" t="str">
        <f>IF(AND('Mapa final'!$AB$59="Muy Baja",'Mapa final'!$AD$59="Mayor"),CONCATENATE("R20C",'Mapa final'!$R$59),"")</f>
        <v/>
      </c>
      <c r="U225" s="106" t="str">
        <f>IF(AND('Mapa final'!$AB$60="Muy Baja",'Mapa final'!$AD$60="Mayor"),CONCATENATE("R20C",'Mapa final'!$R$60),"")</f>
        <v/>
      </c>
      <c r="V225" s="43" t="str">
        <f>IF(AND('Mapa final'!$AB$58="Muy Baja",'Mapa final'!$AD$58="Catastrófico"),CONCATENATE("R20C",'Mapa final'!$R$58),"")</f>
        <v/>
      </c>
      <c r="W225" s="44" t="str">
        <f>IF(AND('Mapa final'!$AB$59="Muy Baja",'Mapa final'!$AD$59="Catastrófico"),CONCATENATE("R20C",'Mapa final'!$R$59),"")</f>
        <v/>
      </c>
      <c r="X225" s="100" t="str">
        <f>IF(AND('Mapa final'!$AB$60="Muy Baja",'Mapa final'!$AD$60="Catastrófico"),CONCATENATE("R20C",'Mapa final'!$R$60),"")</f>
        <v/>
      </c>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row>
    <row r="226" spans="1:65" ht="15.5" x14ac:dyDescent="0.35">
      <c r="A226" s="56"/>
      <c r="B226" s="307"/>
      <c r="C226" s="307"/>
      <c r="D226" s="308"/>
      <c r="E226" s="283"/>
      <c r="F226" s="279"/>
      <c r="G226" s="279"/>
      <c r="H226" s="279"/>
      <c r="I226" s="279"/>
      <c r="J226" s="115" t="str">
        <f>IF(AND('Mapa final'!$AB$61="Muy Baja",'Mapa final'!$AD$61="Leve"),CONCATENATE("R21C",'Mapa final'!$R$61),"")</f>
        <v/>
      </c>
      <c r="K226" s="54" t="str">
        <f>IF(AND('Mapa final'!$AB$62="Muy Baja",'Mapa final'!$AD$62="Leve"),CONCATENATE("R21C",'Mapa final'!$R$62),"")</f>
        <v/>
      </c>
      <c r="L226" s="116" t="str">
        <f>IF(AND('Mapa final'!$AB$63="Muy Baja",'Mapa final'!$AD$63="Leve"),CONCATENATE("R21C",'Mapa final'!$R$63),"")</f>
        <v/>
      </c>
      <c r="M226" s="115" t="str">
        <f>IF(AND('Mapa final'!$AB$61="Muy Baja",'Mapa final'!$AD$61="Menor"),CONCATENATE("R21C",'Mapa final'!$R$61),"")</f>
        <v/>
      </c>
      <c r="N226" s="54" t="str">
        <f>IF(AND('Mapa final'!$AB$62="Muy Baja",'Mapa final'!$AD$62="Menor"),CONCATENATE("R21C",'Mapa final'!$R$62),"")</f>
        <v/>
      </c>
      <c r="O226" s="116" t="str">
        <f>IF(AND('Mapa final'!$AB$63="Muy Baja",'Mapa final'!$AD$63="Menor"),CONCATENATE("R21C",'Mapa final'!$R$63),"")</f>
        <v/>
      </c>
      <c r="P226" s="49" t="str">
        <f>IF(AND('Mapa final'!$AB$61="Muy Baja",'Mapa final'!$AD$61="Moderado"),CONCATENATE("R21C",'Mapa final'!$R$61),"")</f>
        <v/>
      </c>
      <c r="Q226" s="50" t="str">
        <f>IF(AND('Mapa final'!$AB$62="Muy Baja",'Mapa final'!$AD$62="Moderado"),CONCATENATE("R21C",'Mapa final'!$R$62),"")</f>
        <v/>
      </c>
      <c r="R226" s="111" t="str">
        <f>IF(AND('Mapa final'!$AB$63="Muy Baja",'Mapa final'!$AD$63="Moderado"),CONCATENATE("R21C",'Mapa final'!$R$63),"")</f>
        <v/>
      </c>
      <c r="S226" s="105" t="str">
        <f>IF(AND('Mapa final'!$AB$61="Muy Baja",'Mapa final'!$AD$61="Mayor"),CONCATENATE("R21C",'Mapa final'!$R$61),"")</f>
        <v/>
      </c>
      <c r="T226" s="42" t="str">
        <f>IF(AND('Mapa final'!$AB$62="Muy Baja",'Mapa final'!$AD$62="Mayor"),CONCATENATE("R21C",'Mapa final'!$R$62),"")</f>
        <v/>
      </c>
      <c r="U226" s="106" t="str">
        <f>IF(AND('Mapa final'!$AB$63="Muy Baja",'Mapa final'!$AD$63="Mayor"),CONCATENATE("R21C",'Mapa final'!$R$63),"")</f>
        <v/>
      </c>
      <c r="V226" s="43" t="str">
        <f>IF(AND('Mapa final'!$AB$61="Muy Baja",'Mapa final'!$AD$61="Catastrófico"),CONCATENATE("R21C",'Mapa final'!$R$61),"")</f>
        <v/>
      </c>
      <c r="W226" s="44" t="str">
        <f>IF(AND('Mapa final'!$AB$62="Muy Baja",'Mapa final'!$AD$62="Catastrófico"),CONCATENATE("R21C",'Mapa final'!$R$62),"")</f>
        <v/>
      </c>
      <c r="X226" s="100" t="str">
        <f>IF(AND('Mapa final'!$AB$63="Muy Baja",'Mapa final'!$AD$63="Catastrófico"),CONCATENATE("R21C",'Mapa final'!$R$63),"")</f>
        <v/>
      </c>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row>
    <row r="227" spans="1:65" ht="15.5" x14ac:dyDescent="0.35">
      <c r="A227" s="56"/>
      <c r="B227" s="307"/>
      <c r="C227" s="307"/>
      <c r="D227" s="308"/>
      <c r="E227" s="283"/>
      <c r="F227" s="279"/>
      <c r="G227" s="279"/>
      <c r="H227" s="279"/>
      <c r="I227" s="279"/>
      <c r="J227" s="115" t="str">
        <f>IF(AND('Mapa final'!$AB$64="Muy Baja",'Mapa final'!$AD$64="Leve"),CONCATENATE("R22C",'Mapa final'!$R$64),"")</f>
        <v/>
      </c>
      <c r="K227" s="54" t="str">
        <f>IF(AND('Mapa final'!$AB$65="Muy Baja",'Mapa final'!$AD$65="Leve"),CONCATENATE("R22C",'Mapa final'!$R$65),"")</f>
        <v/>
      </c>
      <c r="L227" s="116" t="str">
        <f>IF(AND('Mapa final'!$AB$66="Muy Baja",'Mapa final'!$AD$66="Leve"),CONCATENATE("R22C",'Mapa final'!$R$66),"")</f>
        <v/>
      </c>
      <c r="M227" s="115" t="str">
        <f>IF(AND('Mapa final'!$AB$64="Muy Baja",'Mapa final'!$AD$64="Menor"),CONCATENATE("R22C",'Mapa final'!$R$64),"")</f>
        <v/>
      </c>
      <c r="N227" s="54" t="str">
        <f>IF(AND('Mapa final'!$AB$65="Muy Baja",'Mapa final'!$AD$65="Menor"),CONCATENATE("R22C",'Mapa final'!$R$65),"")</f>
        <v/>
      </c>
      <c r="O227" s="116" t="str">
        <f>IF(AND('Mapa final'!$AB$66="Muy Baja",'Mapa final'!$AD$66="Menor"),CONCATENATE("R22C",'Mapa final'!$R$66),"")</f>
        <v/>
      </c>
      <c r="P227" s="49" t="str">
        <f>IF(AND('Mapa final'!$AB$64="Muy Baja",'Mapa final'!$AD$64="Moderado"),CONCATENATE("R22C",'Mapa final'!$R$64),"")</f>
        <v/>
      </c>
      <c r="Q227" s="50" t="str">
        <f>IF(AND('Mapa final'!$AB$65="Muy Baja",'Mapa final'!$AD$65="Moderado"),CONCATENATE("R22C",'Mapa final'!$R$65),"")</f>
        <v/>
      </c>
      <c r="R227" s="111" t="str">
        <f>IF(AND('Mapa final'!$AB$66="Muy Baja",'Mapa final'!$AD$66="Moderado"),CONCATENATE("R22C",'Mapa final'!$R$66),"")</f>
        <v/>
      </c>
      <c r="S227" s="105" t="str">
        <f>IF(AND('Mapa final'!$AB$64="Muy Baja",'Mapa final'!$AD$64="Mayor"),CONCATENATE("R22C",'Mapa final'!$R$64),"")</f>
        <v/>
      </c>
      <c r="T227" s="42" t="str">
        <f>IF(AND('Mapa final'!$AB$65="Muy Baja",'Mapa final'!$AD$65="Mayor"),CONCATENATE("R22C",'Mapa final'!$R$65),"")</f>
        <v/>
      </c>
      <c r="U227" s="106" t="str">
        <f>IF(AND('Mapa final'!$AB$66="Muy Baja",'Mapa final'!$AD$66="Mayor"),CONCATENATE("R22C",'Mapa final'!$R$66),"")</f>
        <v/>
      </c>
      <c r="V227" s="43" t="str">
        <f>IF(AND('Mapa final'!$AB$64="Muy Baja",'Mapa final'!$AD$64="Catastrófico"),CONCATENATE("R22C",'Mapa final'!$R$64),"")</f>
        <v/>
      </c>
      <c r="W227" s="44" t="str">
        <f>IF(AND('Mapa final'!$AB$65="Muy Baja",'Mapa final'!$AD$65="Catastrófico"),CONCATENATE("R22C",'Mapa final'!$R$65),"")</f>
        <v/>
      </c>
      <c r="X227" s="100" t="str">
        <f>IF(AND('Mapa final'!$AB$66="Muy Baja",'Mapa final'!$AD$66="Catastrófico"),CONCATENATE("R22C",'Mapa final'!$R$66),"")</f>
        <v/>
      </c>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row>
    <row r="228" spans="1:65" ht="15.5" x14ac:dyDescent="0.35">
      <c r="A228" s="56"/>
      <c r="B228" s="307"/>
      <c r="C228" s="307"/>
      <c r="D228" s="308"/>
      <c r="E228" s="283"/>
      <c r="F228" s="279"/>
      <c r="G228" s="279"/>
      <c r="H228" s="279"/>
      <c r="I228" s="279"/>
      <c r="J228" s="115" t="str">
        <f>IF(AND('Mapa final'!$AB$70="Muy Baja",'Mapa final'!$AD$70="Leve"),CONCATENATE("R23C",'Mapa final'!$R$70),"")</f>
        <v/>
      </c>
      <c r="K228" s="54" t="str">
        <f>IF(AND('Mapa final'!$AB$71="Muy Baja",'Mapa final'!$AD$71="Leve"),CONCATENATE("R23C",'Mapa final'!$R$71),"")</f>
        <v/>
      </c>
      <c r="L228" s="116" t="str">
        <f>IF(AND('Mapa final'!$AB$72="Muy Baja",'Mapa final'!$AD$72="Leve"),CONCATENATE("R23C",'Mapa final'!$R$72),"")</f>
        <v/>
      </c>
      <c r="M228" s="115" t="str">
        <f>IF(AND('Mapa final'!$AB$70="Muy Baja",'Mapa final'!$AD$70="Menor"),CONCATENATE("R23C",'Mapa final'!$R$70),"")</f>
        <v/>
      </c>
      <c r="N228" s="54" t="str">
        <f>IF(AND('Mapa final'!$AB$71="Muy Baja",'Mapa final'!$AD$71="Menor"),CONCATENATE("R23C",'Mapa final'!$R$71),"")</f>
        <v/>
      </c>
      <c r="O228" s="116" t="str">
        <f>IF(AND('Mapa final'!$AB$72="Muy Baja",'Mapa final'!$AD$72="Menor"),CONCATENATE("R23C",'Mapa final'!$R$72),"")</f>
        <v/>
      </c>
      <c r="P228" s="49" t="str">
        <f>IF(AND('Mapa final'!$AB$70="Muy Baja",'Mapa final'!$AD$70="Moderado"),CONCATENATE("R23C",'Mapa final'!$R$70),"")</f>
        <v/>
      </c>
      <c r="Q228" s="50" t="str">
        <f>IF(AND('Mapa final'!$AB$71="Muy Baja",'Mapa final'!$AD$71="Moderado"),CONCATENATE("R23C",'Mapa final'!$R$71),"")</f>
        <v/>
      </c>
      <c r="R228" s="111" t="str">
        <f>IF(AND('Mapa final'!$AB$72="Muy Baja",'Mapa final'!$AD$72="Moderado"),CONCATENATE("R23C",'Mapa final'!$R$72),"")</f>
        <v/>
      </c>
      <c r="S228" s="105" t="str">
        <f>IF(AND('Mapa final'!$AB$70="Muy Baja",'Mapa final'!$AD$70="Mayor"),CONCATENATE("R23C",'Mapa final'!$R$70),"")</f>
        <v/>
      </c>
      <c r="T228" s="42" t="str">
        <f>IF(AND('Mapa final'!$AB$71="Muy Baja",'Mapa final'!$AD$71="Mayor"),CONCATENATE("R23C",'Mapa final'!$R$71),"")</f>
        <v/>
      </c>
      <c r="U228" s="106" t="str">
        <f>IF(AND('Mapa final'!$AB$72="Muy Baja",'Mapa final'!$AD$72="Mayor"),CONCATENATE("R23C",'Mapa final'!$R$72),"")</f>
        <v/>
      </c>
      <c r="V228" s="43" t="str">
        <f>IF(AND('Mapa final'!$AB$70="Muy Baja",'Mapa final'!$AD$70="Catastrófico"),CONCATENATE("R23C",'Mapa final'!$R$70),"")</f>
        <v/>
      </c>
      <c r="W228" s="44" t="str">
        <f>IF(AND('Mapa final'!$AB$71="Muy Baja",'Mapa final'!$AD$71="Catastrófico"),CONCATENATE("R23C",'Mapa final'!$R$71),"")</f>
        <v/>
      </c>
      <c r="X228" s="100" t="str">
        <f>IF(AND('Mapa final'!$AB$72="Muy Baja",'Mapa final'!$AD$72="Catastrófico"),CONCATENATE("R23C",'Mapa final'!$R$72),"")</f>
        <v/>
      </c>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row>
    <row r="229" spans="1:65" ht="15.5" x14ac:dyDescent="0.35">
      <c r="A229" s="56"/>
      <c r="B229" s="307"/>
      <c r="C229" s="307"/>
      <c r="D229" s="308"/>
      <c r="E229" s="283"/>
      <c r="F229" s="279"/>
      <c r="G229" s="279"/>
      <c r="H229" s="279"/>
      <c r="I229" s="279"/>
      <c r="J229" s="115" t="str">
        <f>IF(AND('Mapa final'!$AB$73="Muy Baja",'Mapa final'!$AD$73="Leve"),CONCATENATE("R24C",'Mapa final'!$R$73),"")</f>
        <v/>
      </c>
      <c r="K229" s="54" t="str">
        <f>IF(AND('Mapa final'!$AB$74="Muy Baja",'Mapa final'!$AD$74="Leve"),CONCATENATE("R24C",'Mapa final'!$R$74),"")</f>
        <v/>
      </c>
      <c r="L229" s="116" t="str">
        <f>IF(AND('Mapa final'!$AB$75="Muy Baja",'Mapa final'!$AD$75="Leve"),CONCATENATE("R24C",'Mapa final'!$R$75),"")</f>
        <v/>
      </c>
      <c r="M229" s="115" t="str">
        <f>IF(AND('Mapa final'!$AB$73="Muy Baja",'Mapa final'!$AD$73="Menor"),CONCATENATE("R24C",'Mapa final'!$R$73),"")</f>
        <v/>
      </c>
      <c r="N229" s="54" t="str">
        <f>IF(AND('Mapa final'!$AB$74="Muy Baja",'Mapa final'!$AD$74="Menor"),CONCATENATE("R24C",'Mapa final'!$R$74),"")</f>
        <v/>
      </c>
      <c r="O229" s="116" t="str">
        <f>IF(AND('Mapa final'!$AB$75="Muy Baja",'Mapa final'!$AD$75="Menor"),CONCATENATE("R24C",'Mapa final'!$R$75),"")</f>
        <v/>
      </c>
      <c r="P229" s="49" t="str">
        <f>IF(AND('Mapa final'!$AB$73="Muy Baja",'Mapa final'!$AD$73="Moderado"),CONCATENATE("R24C",'Mapa final'!$R$73),"")</f>
        <v/>
      </c>
      <c r="Q229" s="50" t="str">
        <f>IF(AND('Mapa final'!$AB$74="Muy Baja",'Mapa final'!$AD$74="Moderado"),CONCATENATE("R24C",'Mapa final'!$R$74),"")</f>
        <v/>
      </c>
      <c r="R229" s="111" t="str">
        <f>IF(AND('Mapa final'!$AB$75="Muy Baja",'Mapa final'!$AD$75="Moderado"),CONCATENATE("R24C",'Mapa final'!$R$75),"")</f>
        <v/>
      </c>
      <c r="S229" s="105" t="str">
        <f>IF(AND('Mapa final'!$AB$73="Muy Baja",'Mapa final'!$AD$73="Mayor"),CONCATENATE("R24C",'Mapa final'!$R$73),"")</f>
        <v/>
      </c>
      <c r="T229" s="42" t="str">
        <f>IF(AND('Mapa final'!$AB$74="Muy Baja",'Mapa final'!$AD$74="Mayor"),CONCATENATE("R24C",'Mapa final'!$R$74),"")</f>
        <v/>
      </c>
      <c r="U229" s="106" t="str">
        <f>IF(AND('Mapa final'!$AB$75="Muy Baja",'Mapa final'!$AD$75="Mayor"),CONCATENATE("R24C",'Mapa final'!$R$75),"")</f>
        <v/>
      </c>
      <c r="V229" s="43" t="str">
        <f>IF(AND('Mapa final'!$AB$73="Muy Baja",'Mapa final'!$AD$73="Catastrófico"),CONCATENATE("R24C",'Mapa final'!$R$73),"")</f>
        <v/>
      </c>
      <c r="W229" s="44" t="str">
        <f>IF(AND('Mapa final'!$AB$74="Muy Baja",'Mapa final'!$AD$74="Catastrófico"),CONCATENATE("R24C",'Mapa final'!$R$74),"")</f>
        <v/>
      </c>
      <c r="X229" s="100" t="str">
        <f>IF(AND('Mapa final'!$AB$75="Muy Baja",'Mapa final'!$AD$75="Catastrófico"),CONCATENATE("R24C",'Mapa final'!$R$75),"")</f>
        <v/>
      </c>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row>
    <row r="230" spans="1:65" ht="15.5" x14ac:dyDescent="0.35">
      <c r="A230" s="56"/>
      <c r="B230" s="307"/>
      <c r="C230" s="307"/>
      <c r="D230" s="308"/>
      <c r="E230" s="283"/>
      <c r="F230" s="279"/>
      <c r="G230" s="279"/>
      <c r="H230" s="279"/>
      <c r="I230" s="279"/>
      <c r="J230" s="115" t="str">
        <f>IF(AND('Mapa final'!$AB$76="Muy Baja",'Mapa final'!$AD$76="Leve"),CONCATENATE("R25C",'Mapa final'!$R$76),"")</f>
        <v/>
      </c>
      <c r="K230" s="54" t="str">
        <f>IF(AND('Mapa final'!$AB$77="Muy Baja",'Mapa final'!$AD$77="Leve"),CONCATENATE("R25C",'Mapa final'!$R$77),"")</f>
        <v/>
      </c>
      <c r="L230" s="116" t="str">
        <f>IF(AND('Mapa final'!$AB$78="Muy Baja",'Mapa final'!$AD$78="Leve"),CONCATENATE("R25C",'Mapa final'!$R$78),"")</f>
        <v/>
      </c>
      <c r="M230" s="115" t="str">
        <f>IF(AND('Mapa final'!$AB$76="Muy Baja",'Mapa final'!$AD$76="Menor"),CONCATENATE("R25C",'Mapa final'!$R$76),"")</f>
        <v/>
      </c>
      <c r="N230" s="54" t="str">
        <f>IF(AND('Mapa final'!$AB$77="Muy Baja",'Mapa final'!$AD$77="Menor"),CONCATENATE("R25C",'Mapa final'!$R$77),"")</f>
        <v/>
      </c>
      <c r="O230" s="116" t="str">
        <f>IF(AND('Mapa final'!$AB$78="Muy Baja",'Mapa final'!$AD$78="Menor"),CONCATENATE("R25C",'Mapa final'!$R$78),"")</f>
        <v/>
      </c>
      <c r="P230" s="49" t="str">
        <f>IF(AND('Mapa final'!$AB$76="Muy Baja",'Mapa final'!$AD$76="Moderado"),CONCATENATE("R25C",'Mapa final'!$R$76),"")</f>
        <v/>
      </c>
      <c r="Q230" s="50" t="str">
        <f>IF(AND('Mapa final'!$AB$77="Muy Baja",'Mapa final'!$AD$77="Moderado"),CONCATENATE("R25C",'Mapa final'!$R$77),"")</f>
        <v>R25C2</v>
      </c>
      <c r="R230" s="111" t="str">
        <f>IF(AND('Mapa final'!$AB$78="Muy Baja",'Mapa final'!$AD$78="Moderado"),CONCATENATE("R25C",'Mapa final'!$R$78),"")</f>
        <v>R25C3</v>
      </c>
      <c r="S230" s="105" t="str">
        <f>IF(AND('Mapa final'!$AB$76="Muy Baja",'Mapa final'!$AD$76="Mayor"),CONCATENATE("R25C",'Mapa final'!$R$76),"")</f>
        <v/>
      </c>
      <c r="T230" s="42" t="str">
        <f>IF(AND('Mapa final'!$AB$77="Muy Baja",'Mapa final'!$AD$77="Mayor"),CONCATENATE("R25C",'Mapa final'!$R$77),"")</f>
        <v/>
      </c>
      <c r="U230" s="106" t="str">
        <f>IF(AND('Mapa final'!$AB$78="Muy Baja",'Mapa final'!$AD$78="Mayor"),CONCATENATE("R25C",'Mapa final'!$R$78),"")</f>
        <v/>
      </c>
      <c r="V230" s="43" t="str">
        <f>IF(AND('Mapa final'!$AB$76="Muy Baja",'Mapa final'!$AD$76="Catastrófico"),CONCATENATE("R25C",'Mapa final'!$R$76),"")</f>
        <v/>
      </c>
      <c r="W230" s="44" t="str">
        <f>IF(AND('Mapa final'!$AB$77="Muy Baja",'Mapa final'!$AD$77="Catastrófico"),CONCATENATE("R25C",'Mapa final'!$R$77),"")</f>
        <v/>
      </c>
      <c r="X230" s="100" t="str">
        <f>IF(AND('Mapa final'!$AB$78="Muy Baja",'Mapa final'!$AD$78="Catastrófico"),CONCATENATE("R25C",'Mapa final'!$R$78),"")</f>
        <v/>
      </c>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row>
    <row r="231" spans="1:65" ht="15.5" x14ac:dyDescent="0.35">
      <c r="A231" s="56"/>
      <c r="B231" s="307"/>
      <c r="C231" s="307"/>
      <c r="D231" s="308"/>
      <c r="E231" s="283"/>
      <c r="F231" s="279"/>
      <c r="G231" s="279"/>
      <c r="H231" s="279"/>
      <c r="I231" s="279"/>
      <c r="J231" s="115" t="str">
        <f>IF(AND('Mapa final'!$AB$79="Muy Baja",'Mapa final'!$AD$79="Leve"),CONCATENATE("R26C",'Mapa final'!$R$79),"")</f>
        <v/>
      </c>
      <c r="K231" s="54" t="str">
        <f>IF(AND('Mapa final'!$AB$80="Muy Baja",'Mapa final'!$AD$80="Leve"),CONCATENATE("R26C",'Mapa final'!$R$80),"")</f>
        <v/>
      </c>
      <c r="L231" s="116" t="str">
        <f>IF(AND('Mapa final'!$AB$81="Muy Baja",'Mapa final'!$AD$81="Leve"),CONCATENATE("R26C",'Mapa final'!$R$81),"")</f>
        <v/>
      </c>
      <c r="M231" s="115" t="str">
        <f>IF(AND('Mapa final'!$AB$79="Muy Baja",'Mapa final'!$AD$79="Menor"),CONCATENATE("R26C",'Mapa final'!$R$79),"")</f>
        <v/>
      </c>
      <c r="N231" s="54" t="str">
        <f>IF(AND('Mapa final'!$AB$80="Muy Baja",'Mapa final'!$AD$80="Menor"),CONCATENATE("R26C",'Mapa final'!$R$80),"")</f>
        <v/>
      </c>
      <c r="O231" s="116" t="str">
        <f>IF(AND('Mapa final'!$AB$81="Muy Baja",'Mapa final'!$AD$81="Menor"),CONCATENATE("R26C",'Mapa final'!$R$81),"")</f>
        <v/>
      </c>
      <c r="P231" s="49" t="str">
        <f>IF(AND('Mapa final'!$AB$79="Muy Baja",'Mapa final'!$AD$79="Moderado"),CONCATENATE("R26C",'Mapa final'!$R$79),"")</f>
        <v>R26C1</v>
      </c>
      <c r="Q231" s="50" t="str">
        <f>IF(AND('Mapa final'!$AB$80="Muy Baja",'Mapa final'!$AD$80="Moderado"),CONCATENATE("R26C",'Mapa final'!$R$80),"")</f>
        <v>R26C2</v>
      </c>
      <c r="R231" s="111" t="str">
        <f>IF(AND('Mapa final'!$AB$81="Muy Baja",'Mapa final'!$AD$81="Moderado"),CONCATENATE("R26C",'Mapa final'!$R$81),"")</f>
        <v>R26C3</v>
      </c>
      <c r="S231" s="105" t="str">
        <f>IF(AND('Mapa final'!$AB$79="Muy Baja",'Mapa final'!$AD$79="Mayor"),CONCATENATE("R26C",'Mapa final'!$R$79),"")</f>
        <v/>
      </c>
      <c r="T231" s="42" t="str">
        <f>IF(AND('Mapa final'!$AB$80="Muy Baja",'Mapa final'!$AD$80="Mayor"),CONCATENATE("R26C",'Mapa final'!$R$80),"")</f>
        <v/>
      </c>
      <c r="U231" s="106" t="str">
        <f>IF(AND('Mapa final'!$AB$81="Muy Baja",'Mapa final'!$AD$81="Mayor"),CONCATENATE("R26C",'Mapa final'!$R$81),"")</f>
        <v/>
      </c>
      <c r="V231" s="43" t="str">
        <f>IF(AND('Mapa final'!$AB$79="Muy Baja",'Mapa final'!$AD$79="Catastrófico"),CONCATENATE("R26C",'Mapa final'!$R$79),"")</f>
        <v/>
      </c>
      <c r="W231" s="44" t="str">
        <f>IF(AND('Mapa final'!$AB$80="Muy Baja",'Mapa final'!$AD$80="Catastrófico"),CONCATENATE("R26C",'Mapa final'!$R$80),"")</f>
        <v/>
      </c>
      <c r="X231" s="100" t="str">
        <f>IF(AND('Mapa final'!$AB$81="Muy Baja",'Mapa final'!$AD$81="Catastrófico"),CONCATENATE("R26C",'Mapa final'!$R$81),"")</f>
        <v/>
      </c>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row>
    <row r="232" spans="1:65" ht="15.5" x14ac:dyDescent="0.35">
      <c r="A232" s="56"/>
      <c r="B232" s="307"/>
      <c r="C232" s="307"/>
      <c r="D232" s="308"/>
      <c r="E232" s="283"/>
      <c r="F232" s="279"/>
      <c r="G232" s="279"/>
      <c r="H232" s="279"/>
      <c r="I232" s="279"/>
      <c r="J232" s="115" t="str">
        <f>IF(AND('Mapa final'!$AB$82="Muy Baja",'Mapa final'!$AD$82="Leve"),CONCATENATE("R27C",'Mapa final'!$R$82),"")</f>
        <v/>
      </c>
      <c r="K232" s="54" t="str">
        <f>IF(AND('Mapa final'!$AB$83="Muy Baja",'Mapa final'!$AD$83="Leve"),CONCATENATE("R27C",'Mapa final'!$R$83),"")</f>
        <v/>
      </c>
      <c r="L232" s="116" t="str">
        <f>IF(AND('Mapa final'!$AB$84="Muy Baja",'Mapa final'!$AD$84="Leve"),CONCATENATE("R27C",'Mapa final'!$R$84),"")</f>
        <v/>
      </c>
      <c r="M232" s="115" t="str">
        <f>IF(AND('Mapa final'!$AB$82="Muy Baja",'Mapa final'!$AD$82="Menor"),CONCATENATE("R27C",'Mapa final'!$R$82),"")</f>
        <v/>
      </c>
      <c r="N232" s="54" t="str">
        <f>IF(AND('Mapa final'!$AB$83="Muy Baja",'Mapa final'!$AD$83="Menor"),CONCATENATE("R27C",'Mapa final'!$R$83),"")</f>
        <v/>
      </c>
      <c r="O232" s="116" t="str">
        <f>IF(AND('Mapa final'!$AB$84="Muy Baja",'Mapa final'!$AD$84="Menor"),CONCATENATE("R27C",'Mapa final'!$R$84),"")</f>
        <v/>
      </c>
      <c r="P232" s="49" t="str">
        <f>IF(AND('Mapa final'!$AB$82="Muy Baja",'Mapa final'!$AD$82="Moderado"),CONCATENATE("R27C",'Mapa final'!$R$82),"")</f>
        <v/>
      </c>
      <c r="Q232" s="50" t="str">
        <f>IF(AND('Mapa final'!$AB$83="Muy Baja",'Mapa final'!$AD$83="Moderado"),CONCATENATE("R27C",'Mapa final'!$R$83),"")</f>
        <v/>
      </c>
      <c r="R232" s="111" t="str">
        <f>IF(AND('Mapa final'!$AB$84="Muy Baja",'Mapa final'!$AD$84="Moderado"),CONCATENATE("R27C",'Mapa final'!$R$84),"")</f>
        <v/>
      </c>
      <c r="S232" s="105" t="str">
        <f>IF(AND('Mapa final'!$AB$82="Muy Baja",'Mapa final'!$AD$82="Mayor"),CONCATENATE("R27C",'Mapa final'!$R$82),"")</f>
        <v/>
      </c>
      <c r="T232" s="42" t="str">
        <f>IF(AND('Mapa final'!$AB$83="Muy Baja",'Mapa final'!$AD$83="Mayor"),CONCATENATE("R27C",'Mapa final'!$R$83),"")</f>
        <v/>
      </c>
      <c r="U232" s="106" t="str">
        <f>IF(AND('Mapa final'!$AB$84="Muy Baja",'Mapa final'!$AD$84="Mayor"),CONCATENATE("R27C",'Mapa final'!$R$84),"")</f>
        <v/>
      </c>
      <c r="V232" s="43" t="str">
        <f>IF(AND('Mapa final'!$AB$82="Muy Baja",'Mapa final'!$AD$82="Catastrófico"),CONCATENATE("R27C",'Mapa final'!$R$82),"")</f>
        <v/>
      </c>
      <c r="W232" s="44" t="str">
        <f>IF(AND('Mapa final'!$AB$83="Muy Baja",'Mapa final'!$AD$83="Catastrófico"),CONCATENATE("R27C",'Mapa final'!$R$83),"")</f>
        <v/>
      </c>
      <c r="X232" s="100" t="str">
        <f>IF(AND('Mapa final'!$AB$84="Muy Baja",'Mapa final'!$AD$84="Catastrófico"),CONCATENATE("R27C",'Mapa final'!$R$84),"")</f>
        <v/>
      </c>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row>
    <row r="233" spans="1:65" ht="15.5" x14ac:dyDescent="0.35">
      <c r="A233" s="56"/>
      <c r="B233" s="307"/>
      <c r="C233" s="307"/>
      <c r="D233" s="308"/>
      <c r="E233" s="283"/>
      <c r="F233" s="279"/>
      <c r="G233" s="279"/>
      <c r="H233" s="279"/>
      <c r="I233" s="279"/>
      <c r="J233" s="115" t="str">
        <f>IF(AND('Mapa final'!$AB$85="Muy Baja",'Mapa final'!$AD$85="Leve"),CONCATENATE("R28C",'Mapa final'!$R$85),"")</f>
        <v/>
      </c>
      <c r="K233" s="54" t="str">
        <f>IF(AND('Mapa final'!$AB$86="Muy Baja",'Mapa final'!$AD$86="Leve"),CONCATENATE("R28C",'Mapa final'!$R$86),"")</f>
        <v/>
      </c>
      <c r="L233" s="116" t="str">
        <f>IF(AND('Mapa final'!$AB$87="Muy Baja",'Mapa final'!$AD$87="Leve"),CONCATENATE("R28C",'Mapa final'!$R$87),"")</f>
        <v/>
      </c>
      <c r="M233" s="115" t="str">
        <f>IF(AND('Mapa final'!$AB$85="Muy Baja",'Mapa final'!$AD$85="Menor"),CONCATENATE("R28C",'Mapa final'!$R$85),"")</f>
        <v/>
      </c>
      <c r="N233" s="54" t="str">
        <f>IF(AND('Mapa final'!$AB$86="Muy Baja",'Mapa final'!$AD$86="Menor"),CONCATENATE("R28C",'Mapa final'!$R$86),"")</f>
        <v/>
      </c>
      <c r="O233" s="116" t="str">
        <f>IF(AND('Mapa final'!$AB$87="Muy Baja",'Mapa final'!$AD$87="Menor"),CONCATENATE("R28C",'Mapa final'!$R$87),"")</f>
        <v/>
      </c>
      <c r="P233" s="49" t="str">
        <f>IF(AND('Mapa final'!$AB$85="Muy Baja",'Mapa final'!$AD$85="Moderado"),CONCATENATE("R28C",'Mapa final'!$R$85),"")</f>
        <v/>
      </c>
      <c r="Q233" s="50" t="str">
        <f>IF(AND('Mapa final'!$AB$86="Muy Baja",'Mapa final'!$AD$86="Moderado"),CONCATENATE("R28C",'Mapa final'!$R$86),"")</f>
        <v/>
      </c>
      <c r="R233" s="111" t="str">
        <f>IF(AND('Mapa final'!$AB$87="Muy Baja",'Mapa final'!$AD$87="Moderado"),CONCATENATE("R28C",'Mapa final'!$R$87),"")</f>
        <v/>
      </c>
      <c r="S233" s="105" t="str">
        <f>IF(AND('Mapa final'!$AB$85="Muy Baja",'Mapa final'!$AD$85="Mayor"),CONCATENATE("R28C",'Mapa final'!$R$85),"")</f>
        <v/>
      </c>
      <c r="T233" s="42" t="str">
        <f>IF(AND('Mapa final'!$AB$86="Muy Baja",'Mapa final'!$AD$86="Mayor"),CONCATENATE("R28C",'Mapa final'!$R$86),"")</f>
        <v/>
      </c>
      <c r="U233" s="106" t="str">
        <f>IF(AND('Mapa final'!$AB$87="Muy Baja",'Mapa final'!$AD$87="Mayor"),CONCATENATE("R28C",'Mapa final'!$R$87),"")</f>
        <v/>
      </c>
      <c r="V233" s="43" t="str">
        <f>IF(AND('Mapa final'!$AB$85="Muy Baja",'Mapa final'!$AD$85="Catastrófico"),CONCATENATE("R28C",'Mapa final'!$R$85),"")</f>
        <v/>
      </c>
      <c r="W233" s="44" t="str">
        <f>IF(AND('Mapa final'!$AB$86="Muy Baja",'Mapa final'!$AD$86="Catastrófico"),CONCATENATE("R28C",'Mapa final'!$R$86),"")</f>
        <v/>
      </c>
      <c r="X233" s="100" t="str">
        <f>IF(AND('Mapa final'!$AB$87="Muy Baja",'Mapa final'!$AD$87="Catastrófico"),CONCATENATE("R28C",'Mapa final'!$R$87),"")</f>
        <v/>
      </c>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row>
    <row r="234" spans="1:65" ht="15" customHeight="1" x14ac:dyDescent="0.35">
      <c r="A234" s="56"/>
      <c r="B234" s="307"/>
      <c r="C234" s="307"/>
      <c r="D234" s="308"/>
      <c r="E234" s="283"/>
      <c r="F234" s="279"/>
      <c r="G234" s="279"/>
      <c r="H234" s="279"/>
      <c r="I234" s="279"/>
      <c r="J234" s="115" t="str">
        <f>IF(AND('Mapa final'!$AB$88="Muy Baja",'Mapa final'!$AD$88="Leve"),CONCATENATE("R29C",'Mapa final'!$R$88),"")</f>
        <v/>
      </c>
      <c r="K234" s="54" t="str">
        <f>IF(AND('Mapa final'!$AB$89="Muy Baja",'Mapa final'!$AD$89="Leve"),CONCATENATE("R29C",'Mapa final'!$R$89),"")</f>
        <v/>
      </c>
      <c r="L234" s="116" t="str">
        <f>IF(AND('Mapa final'!$AB$90="Muy Baja",'Mapa final'!$AD$90="Leve"),CONCATENATE("R29C",'Mapa final'!$R$90),"")</f>
        <v/>
      </c>
      <c r="M234" s="115" t="str">
        <f>IF(AND('Mapa final'!$AB$88="Muy Baja",'Mapa final'!$AD$88="Menor"),CONCATENATE("R29C",'Mapa final'!$R$88),"")</f>
        <v/>
      </c>
      <c r="N234" s="54" t="str">
        <f>IF(AND('Mapa final'!$AB$89="Muy Baja",'Mapa final'!$AD$89="Menor"),CONCATENATE("R29C",'Mapa final'!$R$89),"")</f>
        <v/>
      </c>
      <c r="O234" s="116" t="str">
        <f>IF(AND('Mapa final'!$AB$90="Muy Baja",'Mapa final'!$AD$90="Menor"),CONCATENATE("R29C",'Mapa final'!$R$90),"")</f>
        <v/>
      </c>
      <c r="P234" s="49" t="str">
        <f>IF(AND('Mapa final'!$AB$88="Muy Baja",'Mapa final'!$AD$88="Moderado"),CONCATENATE("R29C",'Mapa final'!$R$88),"")</f>
        <v/>
      </c>
      <c r="Q234" s="50" t="str">
        <f>IF(AND('Mapa final'!$AB$89="Muy Baja",'Mapa final'!$AD$89="Moderado"),CONCATENATE("R29C",'Mapa final'!$R$89),"")</f>
        <v/>
      </c>
      <c r="R234" s="111" t="str">
        <f>IF(AND('Mapa final'!$AB$90="Muy Baja",'Mapa final'!$AD$90="Moderado"),CONCATENATE("R29C",'Mapa final'!$R$90),"")</f>
        <v/>
      </c>
      <c r="S234" s="105" t="str">
        <f>IF(AND('Mapa final'!$AB$88="Muy Baja",'Mapa final'!$AD$88="Mayor"),CONCATENATE("R29C",'Mapa final'!$R$88),"")</f>
        <v/>
      </c>
      <c r="T234" s="42" t="str">
        <f>IF(AND('Mapa final'!$AB$89="Muy Baja",'Mapa final'!$AD$89="Mayor"),CONCATENATE("R29C",'Mapa final'!$R$89),"")</f>
        <v/>
      </c>
      <c r="U234" s="106" t="str">
        <f>IF(AND('Mapa final'!$AB$90="Muy Baja",'Mapa final'!$AD$90="Mayor"),CONCATENATE("R29C",'Mapa final'!$R$90),"")</f>
        <v/>
      </c>
      <c r="V234" s="43" t="str">
        <f>IF(AND('Mapa final'!$AB$88="Muy Baja",'Mapa final'!$AD$88="Catastrófico"),CONCATENATE("R29C",'Mapa final'!$R$88),"")</f>
        <v/>
      </c>
      <c r="W234" s="44" t="str">
        <f>IF(AND('Mapa final'!$AB$89="Muy Baja",'Mapa final'!$AD$89="Catastrófico"),CONCATENATE("R29C",'Mapa final'!$R$89),"")</f>
        <v/>
      </c>
      <c r="X234" s="100" t="str">
        <f>IF(AND('Mapa final'!$AB$90="Muy Baja",'Mapa final'!$AD$90="Catastrófico"),CONCATENATE("R29C",'Mapa final'!$R$90),"")</f>
        <v/>
      </c>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row>
    <row r="235" spans="1:65" ht="15" customHeight="1" x14ac:dyDescent="0.35">
      <c r="A235" s="56"/>
      <c r="B235" s="307"/>
      <c r="C235" s="307"/>
      <c r="D235" s="308"/>
      <c r="E235" s="284"/>
      <c r="F235" s="297"/>
      <c r="G235" s="297"/>
      <c r="H235" s="297"/>
      <c r="I235" s="279"/>
      <c r="J235" s="115" t="str">
        <f>IF(AND('Mapa final'!$AB$91="Muy Baja",'Mapa final'!$AD$91="Leve"),CONCATENATE("R30C",'Mapa final'!$R$91),"")</f>
        <v/>
      </c>
      <c r="K235" s="54" t="str">
        <f>IF(AND('Mapa final'!$AB$92="Muy Baja",'Mapa final'!$AD$92="Leve"),CONCATENATE("R30C",'Mapa final'!$R$92),"")</f>
        <v/>
      </c>
      <c r="L235" s="116" t="str">
        <f>IF(AND('Mapa final'!$AB$93="Muy Baja",'Mapa final'!$AD$93="Leve"),CONCATENATE("R30C",'Mapa final'!$R$93),"")</f>
        <v/>
      </c>
      <c r="M235" s="115" t="str">
        <f>IF(AND('Mapa final'!$AB$91="Muy Baja",'Mapa final'!$AD$91="Menor"),CONCATENATE("R30C",'Mapa final'!$R$91),"")</f>
        <v/>
      </c>
      <c r="N235" s="54" t="str">
        <f>IF(AND('Mapa final'!$AB$92="Muy Baja",'Mapa final'!$AD$92="Menor"),CONCATENATE("R30C",'Mapa final'!$R$92),"")</f>
        <v/>
      </c>
      <c r="O235" s="116" t="str">
        <f>IF(AND('Mapa final'!$AB$93="Muy Baja",'Mapa final'!$AD$93="Menor"),CONCATENATE("R30C",'Mapa final'!$R$93),"")</f>
        <v/>
      </c>
      <c r="P235" s="49" t="str">
        <f>IF(AND('Mapa final'!$AB$91="Muy Baja",'Mapa final'!$AD$91="Moderado"),CONCATENATE("R30C",'Mapa final'!$R$91),"")</f>
        <v/>
      </c>
      <c r="Q235" s="50" t="str">
        <f>IF(AND('Mapa final'!$AB$92="Muy Baja",'Mapa final'!$AD$92="Moderado"),CONCATENATE("R30C",'Mapa final'!$R$92),"")</f>
        <v/>
      </c>
      <c r="R235" s="111" t="str">
        <f>IF(AND('Mapa final'!$AB$93="Muy Baja",'Mapa final'!$AD$93="Moderado"),CONCATENATE("R30C",'Mapa final'!$R$93),"")</f>
        <v/>
      </c>
      <c r="S235" s="105" t="str">
        <f>IF(AND('Mapa final'!$AB$91="Muy Baja",'Mapa final'!$AD$91="Mayor"),CONCATENATE("R30C",'Mapa final'!$R$91),"")</f>
        <v/>
      </c>
      <c r="T235" s="42" t="str">
        <f>IF(AND('Mapa final'!$AB$92="Muy Baja",'Mapa final'!$AD$92="Mayor"),CONCATENATE("R30C",'Mapa final'!$R$92),"")</f>
        <v/>
      </c>
      <c r="U235" s="106" t="str">
        <f>IF(AND('Mapa final'!$AB$93="Muy Baja",'Mapa final'!$AD$93="Mayor"),CONCATENATE("R30C",'Mapa final'!$R$93),"")</f>
        <v/>
      </c>
      <c r="V235" s="43" t="str">
        <f>IF(AND('Mapa final'!$AB$91="Muy Baja",'Mapa final'!$AD$91="Catastrófico"),CONCATENATE("R30C",'Mapa final'!$R$91),"")</f>
        <v/>
      </c>
      <c r="W235" s="44" t="str">
        <f>IF(AND('Mapa final'!$AB$92="Muy Baja",'Mapa final'!$AD$92="Catastrófico"),CONCATENATE("R30C",'Mapa final'!$R$92),"")</f>
        <v/>
      </c>
      <c r="X235" s="100" t="str">
        <f>IF(AND('Mapa final'!$AB$93="Muy Baja",'Mapa final'!$AD$93="Catastrófico"),CONCATENATE("R30C",'Mapa final'!$R$93),"")</f>
        <v/>
      </c>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row>
    <row r="236" spans="1:65" ht="15" customHeight="1" x14ac:dyDescent="0.35">
      <c r="A236" s="56"/>
      <c r="B236" s="307"/>
      <c r="C236" s="307"/>
      <c r="D236" s="308"/>
      <c r="E236" s="284"/>
      <c r="F236" s="297"/>
      <c r="G236" s="297"/>
      <c r="H236" s="297"/>
      <c r="I236" s="279"/>
      <c r="J236" s="115" t="str">
        <f>IF(AND('Mapa final'!$AB$94="Muy Baja",'Mapa final'!$AD$94="Leve"),CONCATENATE("R31C",'Mapa final'!$R$94),"")</f>
        <v/>
      </c>
      <c r="K236" s="54" t="str">
        <f>IF(AND('Mapa final'!$AB$95="Muy Baja",'Mapa final'!$AD$95="Leve"),CONCATENATE("R31C",'Mapa final'!$R$95),"")</f>
        <v/>
      </c>
      <c r="L236" s="116" t="str">
        <f>IF(AND('Mapa final'!$AB$96="Muy Baja",'Mapa final'!$AD$96="Leve"),CONCATENATE("R31C",'Mapa final'!$R$96),"")</f>
        <v/>
      </c>
      <c r="M236" s="115" t="str">
        <f>IF(AND('Mapa final'!$AB$94="Muy Baja",'Mapa final'!$AD$94="Menor"),CONCATENATE("R31C",'Mapa final'!$R$94),"")</f>
        <v/>
      </c>
      <c r="N236" s="54" t="str">
        <f>IF(AND('Mapa final'!$AB$95="Muy Baja",'Mapa final'!$AD$95="Menor"),CONCATENATE("R31C",'Mapa final'!$R$95),"")</f>
        <v/>
      </c>
      <c r="O236" s="116" t="str">
        <f>IF(AND('Mapa final'!$AB$96="Muy Baja",'Mapa final'!$AD$96="Menor"),CONCATENATE("R31C",'Mapa final'!$R$96),"")</f>
        <v/>
      </c>
      <c r="P236" s="49" t="str">
        <f>IF(AND('Mapa final'!$AB$94="Muy Baja",'Mapa final'!$AD$94="Moderado"),CONCATENATE("R31C",'Mapa final'!$R$94),"")</f>
        <v/>
      </c>
      <c r="Q236" s="50" t="str">
        <f>IF(AND('Mapa final'!$AB$95="Muy Baja",'Mapa final'!$AD$95="Moderado"),CONCATENATE("R31C",'Mapa final'!$R$95),"")</f>
        <v/>
      </c>
      <c r="R236" s="111" t="str">
        <f>IF(AND('Mapa final'!$AB$96="Muy Baja",'Mapa final'!$AD$96="Moderado"),CONCATENATE("R31C",'Mapa final'!$R$96),"")</f>
        <v/>
      </c>
      <c r="S236" s="105" t="str">
        <f>IF(AND('Mapa final'!$AB$94="Muy Baja",'Mapa final'!$AD$94="Mayor"),CONCATENATE("R31C",'Mapa final'!$R$94),"")</f>
        <v/>
      </c>
      <c r="T236" s="42" t="str">
        <f>IF(AND('Mapa final'!$AB$95="Muy Baja",'Mapa final'!$AD$95="Mayor"),CONCATENATE("R31C",'Mapa final'!$R$95),"")</f>
        <v/>
      </c>
      <c r="U236" s="106" t="str">
        <f>IF(AND('Mapa final'!$AB$96="Muy Baja",'Mapa final'!$AD$96="Mayor"),CONCATENATE("R31C",'Mapa final'!$R$96),"")</f>
        <v/>
      </c>
      <c r="V236" s="43" t="str">
        <f>IF(AND('Mapa final'!$AB$94="Muy Baja",'Mapa final'!$AD$94="Catastrófico"),CONCATENATE("R31C",'Mapa final'!$R$94),"")</f>
        <v/>
      </c>
      <c r="W236" s="44" t="str">
        <f>IF(AND('Mapa final'!$AB$95="Muy Baja",'Mapa final'!$AD$95="Catastrófico"),CONCATENATE("R31C",'Mapa final'!$R$95),"")</f>
        <v/>
      </c>
      <c r="X236" s="100" t="str">
        <f>IF(AND('Mapa final'!$AB$96="Muy Baja",'Mapa final'!$AD$96="Catastrófico"),CONCATENATE("R31C",'Mapa final'!$R$96),"")</f>
        <v/>
      </c>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row>
    <row r="237" spans="1:65" ht="15" customHeight="1" x14ac:dyDescent="0.35">
      <c r="A237" s="56"/>
      <c r="B237" s="307"/>
      <c r="C237" s="307"/>
      <c r="D237" s="308"/>
      <c r="E237" s="284"/>
      <c r="F237" s="297"/>
      <c r="G237" s="297"/>
      <c r="H237" s="297"/>
      <c r="I237" s="279"/>
      <c r="J237" s="115" t="e">
        <f>IF(AND('Mapa final'!#REF!="Muy Baja",'Mapa final'!#REF!="Leve"),CONCATENATE("R32C",'Mapa final'!#REF!),"")</f>
        <v>#REF!</v>
      </c>
      <c r="K237" s="54" t="e">
        <f>IF(AND('Mapa final'!#REF!="Muy Baja",'Mapa final'!#REF!="Leve"),CONCATENATE("R32C",'Mapa final'!#REF!),"")</f>
        <v>#REF!</v>
      </c>
      <c r="L237" s="116" t="e">
        <f>IF(AND('Mapa final'!#REF!="Muy Baja",'Mapa final'!#REF!="Leve"),CONCATENATE("R32C",'Mapa final'!#REF!),"")</f>
        <v>#REF!</v>
      </c>
      <c r="M237" s="115" t="e">
        <f>IF(AND('Mapa final'!#REF!="Muy Baja",'Mapa final'!#REF!="Menor"),CONCATENATE("R32C",'Mapa final'!#REF!),"")</f>
        <v>#REF!</v>
      </c>
      <c r="N237" s="54" t="e">
        <f>IF(AND('Mapa final'!#REF!="Muy Baja",'Mapa final'!#REF!="Menor"),CONCATENATE("R32C",'Mapa final'!#REF!),"")</f>
        <v>#REF!</v>
      </c>
      <c r="O237" s="116" t="e">
        <f>IF(AND('Mapa final'!#REF!="Muy Baja",'Mapa final'!#REF!="Menor"),CONCATENATE("R32C",'Mapa final'!#REF!),"")</f>
        <v>#REF!</v>
      </c>
      <c r="P237" s="49" t="e">
        <f>IF(AND('Mapa final'!#REF!="Muy Baja",'Mapa final'!#REF!="Moderado"),CONCATENATE("R32C",'Mapa final'!#REF!),"")</f>
        <v>#REF!</v>
      </c>
      <c r="Q237" s="50" t="e">
        <f>IF(AND('Mapa final'!#REF!="Muy Baja",'Mapa final'!#REF!="Moderado"),CONCATENATE("R32C",'Mapa final'!#REF!),"")</f>
        <v>#REF!</v>
      </c>
      <c r="R237" s="111" t="e">
        <f>IF(AND('Mapa final'!#REF!="Muy Baja",'Mapa final'!#REF!="Moderado"),CONCATENATE("R32C",'Mapa final'!#REF!),"")</f>
        <v>#REF!</v>
      </c>
      <c r="S237" s="105" t="e">
        <f>IF(AND('Mapa final'!#REF!="Muy Baja",'Mapa final'!#REF!="Mayor"),CONCATENATE("R32C",'Mapa final'!#REF!),"")</f>
        <v>#REF!</v>
      </c>
      <c r="T237" s="42" t="e">
        <f>IF(AND('Mapa final'!#REF!="Muy Baja",'Mapa final'!#REF!="Mayor"),CONCATENATE("R32C",'Mapa final'!#REF!),"")</f>
        <v>#REF!</v>
      </c>
      <c r="U237" s="106" t="e">
        <f>IF(AND('Mapa final'!#REF!="Muy Baja",'Mapa final'!#REF!="Mayor"),CONCATENATE("R32C",'Mapa final'!#REF!),"")</f>
        <v>#REF!</v>
      </c>
      <c r="V237" s="43" t="e">
        <f>IF(AND('Mapa final'!#REF!="Muy Baja",'Mapa final'!#REF!="Catastrófico"),CONCATENATE("R32C",'Mapa final'!#REF!),"")</f>
        <v>#REF!</v>
      </c>
      <c r="W237" s="44" t="e">
        <f>IF(AND('Mapa final'!#REF!="Muy Baja",'Mapa final'!#REF!="Catastrófico"),CONCATENATE("R32C",'Mapa final'!#REF!),"")</f>
        <v>#REF!</v>
      </c>
      <c r="X237" s="100" t="e">
        <f>IF(AND('Mapa final'!#REF!="Muy Baja",'Mapa final'!#REF!="Catastrófico"),CONCATENATE("R32C",'Mapa final'!#REF!),"")</f>
        <v>#REF!</v>
      </c>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row>
    <row r="238" spans="1:65" ht="15" customHeight="1" x14ac:dyDescent="0.35">
      <c r="A238" s="56"/>
      <c r="B238" s="307"/>
      <c r="C238" s="307"/>
      <c r="D238" s="308"/>
      <c r="E238" s="284"/>
      <c r="F238" s="297"/>
      <c r="G238" s="297"/>
      <c r="H238" s="297"/>
      <c r="I238" s="279"/>
      <c r="J238" s="115" t="str">
        <f>IF(AND('Mapa final'!$AB$97="Muy Baja",'Mapa final'!$AD$97="Leve"),CONCATENATE("R33C",'Mapa final'!$R$97),"")</f>
        <v/>
      </c>
      <c r="K238" s="54" t="str">
        <f>IF(AND('Mapa final'!$AB$98="Muy Baja",'Mapa final'!$AD$98="Leve"),CONCATENATE("R33C",'Mapa final'!$R$98),"")</f>
        <v/>
      </c>
      <c r="L238" s="116" t="str">
        <f>IF(AND('Mapa final'!$AB$99="Muy Baja",'Mapa final'!$AD$99="Leve"),CONCATENATE("R33C",'Mapa final'!$R$99),"")</f>
        <v/>
      </c>
      <c r="M238" s="115" t="str">
        <f>IF(AND('Mapa final'!$AB$97="Muy Baja",'Mapa final'!$AD$97="Menor"),CONCATENATE("R33C",'Mapa final'!$R$97),"")</f>
        <v/>
      </c>
      <c r="N238" s="54" t="str">
        <f>IF(AND('Mapa final'!$AB$98="Muy Baja",'Mapa final'!$AD$98="Menor"),CONCATENATE("R33C",'Mapa final'!$R$98),"")</f>
        <v/>
      </c>
      <c r="O238" s="116" t="str">
        <f>IF(AND('Mapa final'!$AB$99="Muy Baja",'Mapa final'!$AD$99="Menor"),CONCATENATE("R33C",'Mapa final'!$R$99),"")</f>
        <v/>
      </c>
      <c r="P238" s="49" t="str">
        <f>IF(AND('Mapa final'!$AB$97="Muy Baja",'Mapa final'!$AD$97="Moderado"),CONCATENATE("R33C",'Mapa final'!$R$97),"")</f>
        <v/>
      </c>
      <c r="Q238" s="50" t="str">
        <f>IF(AND('Mapa final'!$AB$98="Muy Baja",'Mapa final'!$AD$98="Moderado"),CONCATENATE("R33C",'Mapa final'!$R$98),"")</f>
        <v/>
      </c>
      <c r="R238" s="111" t="str">
        <f>IF(AND('Mapa final'!$AB$99="Muy Baja",'Mapa final'!$AD$99="Moderado"),CONCATENATE("R33C",'Mapa final'!$R$99),"")</f>
        <v/>
      </c>
      <c r="S238" s="105" t="str">
        <f>IF(AND('Mapa final'!$AB$97="Muy Baja",'Mapa final'!$AD$97="Mayor"),CONCATENATE("R33C",'Mapa final'!$R$97),"")</f>
        <v/>
      </c>
      <c r="T238" s="42" t="str">
        <f>IF(AND('Mapa final'!$AB$98="Muy Baja",'Mapa final'!$AD$98="Mayor"),CONCATENATE("R33C",'Mapa final'!$R$98),"")</f>
        <v/>
      </c>
      <c r="U238" s="106" t="str">
        <f>IF(AND('Mapa final'!$AB$99="Muy Baja",'Mapa final'!$AD$99="Mayor"),CONCATENATE("R33C",'Mapa final'!$R$99),"")</f>
        <v/>
      </c>
      <c r="V238" s="43" t="str">
        <f>IF(AND('Mapa final'!$AB$97="Muy Baja",'Mapa final'!$AD$97="Catastrófico"),CONCATENATE("R33C",'Mapa final'!$R$97),"")</f>
        <v/>
      </c>
      <c r="W238" s="44" t="str">
        <f>IF(AND('Mapa final'!$AB$98="Muy Baja",'Mapa final'!$AD$98="Catastrófico"),CONCATENATE("R33C",'Mapa final'!$R$98),"")</f>
        <v/>
      </c>
      <c r="X238" s="100" t="str">
        <f>IF(AND('Mapa final'!$AB$99="Muy Baja",'Mapa final'!$AD$99="Catastrófico"),CONCATENATE("R33C",'Mapa final'!$R$99),"")</f>
        <v/>
      </c>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row>
    <row r="239" spans="1:65" ht="15" customHeight="1" x14ac:dyDescent="0.35">
      <c r="A239" s="56"/>
      <c r="B239" s="307"/>
      <c r="C239" s="307"/>
      <c r="D239" s="308"/>
      <c r="E239" s="284"/>
      <c r="F239" s="297"/>
      <c r="G239" s="297"/>
      <c r="H239" s="297"/>
      <c r="I239" s="279"/>
      <c r="J239" s="115" t="str">
        <f>IF(AND('Mapa final'!$AB$100="Muy Baja",'Mapa final'!$AD$100="Leve"),CONCATENATE("R34C",'Mapa final'!$R$100),"")</f>
        <v/>
      </c>
      <c r="K239" s="54" t="str">
        <f>IF(AND('Mapa final'!$AB$101="Muy Baja",'Mapa final'!$AD$101="Leve"),CONCATENATE("R34C",'Mapa final'!$R$101),"")</f>
        <v/>
      </c>
      <c r="L239" s="116" t="str">
        <f>IF(AND('Mapa final'!$AB$102="Muy Baja",'Mapa final'!$AD$102="Leve"),CONCATENATE("R34C",'Mapa final'!$R$102),"")</f>
        <v/>
      </c>
      <c r="M239" s="115" t="str">
        <f>IF(AND('Mapa final'!$AB$100="Muy Baja",'Mapa final'!$AD$100="Menor"),CONCATENATE("R34C",'Mapa final'!$R$100),"")</f>
        <v/>
      </c>
      <c r="N239" s="54" t="str">
        <f>IF(AND('Mapa final'!$AB$101="Muy Baja",'Mapa final'!$AD$101="Menor"),CONCATENATE("R34C",'Mapa final'!$R$101),"")</f>
        <v/>
      </c>
      <c r="O239" s="116" t="str">
        <f>IF(AND('Mapa final'!$AB$102="Muy Baja",'Mapa final'!$AD$102="Menor"),CONCATENATE("R34C",'Mapa final'!$R$102),"")</f>
        <v/>
      </c>
      <c r="P239" s="49" t="str">
        <f>IF(AND('Mapa final'!$AB$100="Muy Baja",'Mapa final'!$AD$100="Moderado"),CONCATENATE("R34C",'Mapa final'!$R$100),"")</f>
        <v/>
      </c>
      <c r="Q239" s="50" t="str">
        <f>IF(AND('Mapa final'!$AB$101="Muy Baja",'Mapa final'!$AD$101="Moderado"),CONCATENATE("R34C",'Mapa final'!$R$101),"")</f>
        <v/>
      </c>
      <c r="R239" s="111" t="str">
        <f>IF(AND('Mapa final'!$AB$102="Muy Baja",'Mapa final'!$AD$102="Moderado"),CONCATENATE("R34C",'Mapa final'!$R$102),"")</f>
        <v/>
      </c>
      <c r="S239" s="105" t="str">
        <f>IF(AND('Mapa final'!$AB$100="Muy Baja",'Mapa final'!$AD$100="Mayor"),CONCATENATE("R34C",'Mapa final'!$R$100),"")</f>
        <v/>
      </c>
      <c r="T239" s="42" t="str">
        <f>IF(AND('Mapa final'!$AB$101="Muy Baja",'Mapa final'!$AD$101="Mayor"),CONCATENATE("R34C",'Mapa final'!$R$101),"")</f>
        <v/>
      </c>
      <c r="U239" s="106" t="str">
        <f>IF(AND('Mapa final'!$AB$102="Muy Baja",'Mapa final'!$AD$102="Mayor"),CONCATENATE("R34C",'Mapa final'!$R$102),"")</f>
        <v/>
      </c>
      <c r="V239" s="43" t="str">
        <f>IF(AND('Mapa final'!$AB$100="Muy Baja",'Mapa final'!$AD$100="Catastrófico"),CONCATENATE("R34C",'Mapa final'!$R$100),"")</f>
        <v/>
      </c>
      <c r="W239" s="44" t="str">
        <f>IF(AND('Mapa final'!$AB$101="Muy Baja",'Mapa final'!$AD$101="Catastrófico"),CONCATENATE("R34C",'Mapa final'!$R$101),"")</f>
        <v/>
      </c>
      <c r="X239" s="100" t="str">
        <f>IF(AND('Mapa final'!$AB$102="Muy Baja",'Mapa final'!$AD$102="Catastrófico"),CONCATENATE("R34C",'Mapa final'!$R$102),"")</f>
        <v/>
      </c>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row>
    <row r="240" spans="1:65" ht="15" customHeight="1" x14ac:dyDescent="0.35">
      <c r="A240" s="56"/>
      <c r="B240" s="307"/>
      <c r="C240" s="307"/>
      <c r="D240" s="308"/>
      <c r="E240" s="284"/>
      <c r="F240" s="297"/>
      <c r="G240" s="297"/>
      <c r="H240" s="297"/>
      <c r="I240" s="279"/>
      <c r="J240" s="115" t="str">
        <f>IF(AND('Mapa final'!$AB$103="Muy Baja",'Mapa final'!$AD$103="Leve"),CONCATENATE("R35C",'Mapa final'!$R$103),"")</f>
        <v/>
      </c>
      <c r="K240" s="54" t="str">
        <f>IF(AND('Mapa final'!$AB$104="Muy Baja",'Mapa final'!$AD$104="Leve"),CONCATENATE("R35C",'Mapa final'!$R$104),"")</f>
        <v/>
      </c>
      <c r="L240" s="116" t="str">
        <f>IF(AND('Mapa final'!$AB$105="Muy Baja",'Mapa final'!$AD$105="Leve"),CONCATENATE("R35C",'Mapa final'!$R$105),"")</f>
        <v/>
      </c>
      <c r="M240" s="115" t="str">
        <f>IF(AND('Mapa final'!$AB$103="Muy Baja",'Mapa final'!$AD$103="Menor"),CONCATENATE("R35C",'Mapa final'!$R$103),"")</f>
        <v/>
      </c>
      <c r="N240" s="54" t="str">
        <f>IF(AND('Mapa final'!$AB$104="Muy Baja",'Mapa final'!$AD$104="Menor"),CONCATENATE("R35C",'Mapa final'!$R$104),"")</f>
        <v/>
      </c>
      <c r="O240" s="116" t="str">
        <f>IF(AND('Mapa final'!$AB$105="Muy Baja",'Mapa final'!$AD$105="Menor"),CONCATENATE("R35C",'Mapa final'!$R$105),"")</f>
        <v/>
      </c>
      <c r="P240" s="49" t="str">
        <f>IF(AND('Mapa final'!$AB$103="Muy Baja",'Mapa final'!$AD$103="Moderado"),CONCATENATE("R35C",'Mapa final'!$R$103),"")</f>
        <v/>
      </c>
      <c r="Q240" s="50" t="str">
        <f>IF(AND('Mapa final'!$AB$104="Muy Baja",'Mapa final'!$AD$104="Moderado"),CONCATENATE("R35C",'Mapa final'!$R$104),"")</f>
        <v/>
      </c>
      <c r="R240" s="111" t="str">
        <f>IF(AND('Mapa final'!$AB$105="Muy Baja",'Mapa final'!$AD$105="Moderado"),CONCATENATE("R35C",'Mapa final'!$R$105),"")</f>
        <v/>
      </c>
      <c r="S240" s="105" t="str">
        <f>IF(AND('Mapa final'!$AB$103="Muy Baja",'Mapa final'!$AD$103="Mayor"),CONCATENATE("R35C",'Mapa final'!$R$103),"")</f>
        <v/>
      </c>
      <c r="T240" s="42" t="str">
        <f>IF(AND('Mapa final'!$AB$104="Muy Baja",'Mapa final'!$AD$104="Mayor"),CONCATENATE("R35C",'Mapa final'!$R$104),"")</f>
        <v/>
      </c>
      <c r="U240" s="106" t="str">
        <f>IF(AND('Mapa final'!$AB$105="Muy Baja",'Mapa final'!$AD$105="Mayor"),CONCATENATE("R35C",'Mapa final'!$R$105),"")</f>
        <v/>
      </c>
      <c r="V240" s="43" t="str">
        <f>IF(AND('Mapa final'!$AB$103="Muy Baja",'Mapa final'!$AD$103="Catastrófico"),CONCATENATE("R35C",'Mapa final'!$R$103),"")</f>
        <v/>
      </c>
      <c r="W240" s="44" t="str">
        <f>IF(AND('Mapa final'!$AB$104="Muy Baja",'Mapa final'!$AD$104="Catastrófico"),CONCATENATE("R35C",'Mapa final'!$R$104),"")</f>
        <v/>
      </c>
      <c r="X240" s="100" t="str">
        <f>IF(AND('Mapa final'!$AB$105="Muy Baja",'Mapa final'!$AD$105="Catastrófico"),CONCATENATE("R35C",'Mapa final'!$R$105),"")</f>
        <v/>
      </c>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row>
    <row r="241" spans="1:65" ht="15" customHeight="1" x14ac:dyDescent="0.35">
      <c r="A241" s="56"/>
      <c r="B241" s="307"/>
      <c r="C241" s="307"/>
      <c r="D241" s="308"/>
      <c r="E241" s="284"/>
      <c r="F241" s="297"/>
      <c r="G241" s="297"/>
      <c r="H241" s="297"/>
      <c r="I241" s="279"/>
      <c r="J241" s="115" t="str">
        <f>IF(AND('Mapa final'!$AB$106="Muy Baja",'Mapa final'!$AD$106="Leve"),CONCATENATE("R36C",'Mapa final'!$R$106),"")</f>
        <v/>
      </c>
      <c r="K241" s="54" t="str">
        <f>IF(AND('Mapa final'!$AB$107="Muy Baja",'Mapa final'!$AD$107="Leve"),CONCATENATE("R36C",'Mapa final'!$R$107),"")</f>
        <v/>
      </c>
      <c r="L241" s="116" t="str">
        <f>IF(AND('Mapa final'!$AB$108="Muy Baja",'Mapa final'!$AD$108="Leve"),CONCATENATE("R36C",'Mapa final'!$R$108),"")</f>
        <v/>
      </c>
      <c r="M241" s="115" t="str">
        <f>IF(AND('Mapa final'!$AB$106="Muy Baja",'Mapa final'!$AD$106="Menor"),CONCATENATE("R36C",'Mapa final'!$R$106),"")</f>
        <v/>
      </c>
      <c r="N241" s="54" t="str">
        <f>IF(AND('Mapa final'!$AB$107="Muy Baja",'Mapa final'!$AD$107="Menor"),CONCATENATE("R36C",'Mapa final'!$R$107),"")</f>
        <v/>
      </c>
      <c r="O241" s="116" t="str">
        <f>IF(AND('Mapa final'!$AB$108="Muy Baja",'Mapa final'!$AD$108="Menor"),CONCATENATE("R36C",'Mapa final'!$R$108),"")</f>
        <v/>
      </c>
      <c r="P241" s="49" t="str">
        <f>IF(AND('Mapa final'!$AB$106="Muy Baja",'Mapa final'!$AD$106="Moderado"),CONCATENATE("R36C",'Mapa final'!$R$106),"")</f>
        <v/>
      </c>
      <c r="Q241" s="50" t="str">
        <f>IF(AND('Mapa final'!$AB$107="Muy Baja",'Mapa final'!$AD$107="Moderado"),CONCATENATE("R36C",'Mapa final'!$R$107),"")</f>
        <v/>
      </c>
      <c r="R241" s="111" t="str">
        <f>IF(AND('Mapa final'!$AB$108="Muy Baja",'Mapa final'!$AD$108="Moderado"),CONCATENATE("R36C",'Mapa final'!$R$108),"")</f>
        <v/>
      </c>
      <c r="S241" s="105" t="str">
        <f>IF(AND('Mapa final'!$AB$106="Muy Baja",'Mapa final'!$AD$106="Mayor"),CONCATENATE("R36C",'Mapa final'!$R$106),"")</f>
        <v/>
      </c>
      <c r="T241" s="42" t="str">
        <f>IF(AND('Mapa final'!$AB$107="Muy Baja",'Mapa final'!$AD$107="Mayor"),CONCATENATE("R36C",'Mapa final'!$R$107),"")</f>
        <v/>
      </c>
      <c r="U241" s="106" t="str">
        <f>IF(AND('Mapa final'!$AB$108="Muy Baja",'Mapa final'!$AD$108="Mayor"),CONCATENATE("R36C",'Mapa final'!$R$108),"")</f>
        <v/>
      </c>
      <c r="V241" s="43" t="str">
        <f>IF(AND('Mapa final'!$AB$106="Muy Baja",'Mapa final'!$AD$106="Catastrófico"),CONCATENATE("R36C",'Mapa final'!$R$106),"")</f>
        <v/>
      </c>
      <c r="W241" s="44" t="str">
        <f>IF(AND('Mapa final'!$AB$107="Muy Baja",'Mapa final'!$AD$107="Catastrófico"),CONCATENATE("R36C",'Mapa final'!$R$107),"")</f>
        <v/>
      </c>
      <c r="X241" s="100" t="str">
        <f>IF(AND('Mapa final'!$AB$108="Muy Baja",'Mapa final'!$AD$108="Catastrófico"),CONCATENATE("R36C",'Mapa final'!$R$108),"")</f>
        <v/>
      </c>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row>
    <row r="242" spans="1:65" ht="15" customHeight="1" x14ac:dyDescent="0.35">
      <c r="A242" s="56"/>
      <c r="B242" s="307"/>
      <c r="C242" s="307"/>
      <c r="D242" s="308"/>
      <c r="E242" s="284"/>
      <c r="F242" s="297"/>
      <c r="G242" s="297"/>
      <c r="H242" s="297"/>
      <c r="I242" s="279"/>
      <c r="J242" s="115" t="str">
        <f>IF(AND('Mapa final'!$AB$109="Muy Baja",'Mapa final'!$AD$109="Leve"),CONCATENATE("R37C",'Mapa final'!$R$109),"")</f>
        <v/>
      </c>
      <c r="K242" s="54" t="str">
        <f>IF(AND('Mapa final'!$AB$110="Muy Baja",'Mapa final'!$AD$110="Leve"),CONCATENATE("R37C",'Mapa final'!$R$110),"")</f>
        <v/>
      </c>
      <c r="L242" s="116" t="str">
        <f>IF(AND('Mapa final'!$AB$111="Muy Baja",'Mapa final'!$AD$111="Leve"),CONCATENATE("R37C",'Mapa final'!$R$111),"")</f>
        <v/>
      </c>
      <c r="M242" s="115" t="str">
        <f>IF(AND('Mapa final'!$AB$109="Muy Baja",'Mapa final'!$AD$109="Menor"),CONCATENATE("R37C",'Mapa final'!$R$109),"")</f>
        <v/>
      </c>
      <c r="N242" s="54" t="str">
        <f>IF(AND('Mapa final'!$AB$110="Muy Baja",'Mapa final'!$AD$110="Menor"),CONCATENATE("R37C",'Mapa final'!$R$110),"")</f>
        <v/>
      </c>
      <c r="O242" s="116" t="str">
        <f>IF(AND('Mapa final'!$AB$111="Muy Baja",'Mapa final'!$AD$111="Menor"),CONCATENATE("R37C",'Mapa final'!$R$111),"")</f>
        <v/>
      </c>
      <c r="P242" s="49" t="str">
        <f>IF(AND('Mapa final'!$AB$109="Muy Baja",'Mapa final'!$AD$109="Moderado"),CONCATENATE("R37C",'Mapa final'!$R$109),"")</f>
        <v/>
      </c>
      <c r="Q242" s="50" t="str">
        <f>IF(AND('Mapa final'!$AB$110="Muy Baja",'Mapa final'!$AD$110="Moderado"),CONCATENATE("R37C",'Mapa final'!$R$110),"")</f>
        <v/>
      </c>
      <c r="R242" s="111" t="str">
        <f>IF(AND('Mapa final'!$AB$111="Muy Baja",'Mapa final'!$AD$111="Moderado"),CONCATENATE("R37C",'Mapa final'!$R$111),"")</f>
        <v/>
      </c>
      <c r="S242" s="105" t="str">
        <f>IF(AND('Mapa final'!$AB$109="Muy Baja",'Mapa final'!$AD$109="Mayor"),CONCATENATE("R37C",'Mapa final'!$R$109),"")</f>
        <v/>
      </c>
      <c r="T242" s="42" t="str">
        <f>IF(AND('Mapa final'!$AB$110="Muy Baja",'Mapa final'!$AD$110="Mayor"),CONCATENATE("R37C",'Mapa final'!$R$110),"")</f>
        <v/>
      </c>
      <c r="U242" s="106" t="str">
        <f>IF(AND('Mapa final'!$AB$111="Muy Baja",'Mapa final'!$AD$111="Mayor"),CONCATENATE("R37C",'Mapa final'!$R$111),"")</f>
        <v/>
      </c>
      <c r="V242" s="43" t="str">
        <f>IF(AND('Mapa final'!$AB$109="Muy Baja",'Mapa final'!$AD$109="Catastrófico"),CONCATENATE("R37C",'Mapa final'!$R$109),"")</f>
        <v/>
      </c>
      <c r="W242" s="44" t="str">
        <f>IF(AND('Mapa final'!$AB$110="Muy Baja",'Mapa final'!$AD$110="Catastrófico"),CONCATENATE("R37C",'Mapa final'!$R$110),"")</f>
        <v/>
      </c>
      <c r="X242" s="100" t="str">
        <f>IF(AND('Mapa final'!$AB$111="Muy Baja",'Mapa final'!$AD$111="Catastrófico"),CONCATENATE("R37C",'Mapa final'!$R$111),"")</f>
        <v/>
      </c>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row>
    <row r="243" spans="1:65" ht="15" customHeight="1" x14ac:dyDescent="0.35">
      <c r="A243" s="56"/>
      <c r="B243" s="307"/>
      <c r="C243" s="307"/>
      <c r="D243" s="308"/>
      <c r="E243" s="284"/>
      <c r="F243" s="297"/>
      <c r="G243" s="297"/>
      <c r="H243" s="297"/>
      <c r="I243" s="279"/>
      <c r="J243" s="115" t="str">
        <f>IF(AND('Mapa final'!$AB$112="Muy Baja",'Mapa final'!$AD$112="Leve"),CONCATENATE("R38C",'Mapa final'!$R$112),"")</f>
        <v/>
      </c>
      <c r="K243" s="54" t="str">
        <f>IF(AND('Mapa final'!$AB$113="Muy Baja",'Mapa final'!$AD$113="Leve"),CONCATENATE("R38C",'Mapa final'!$R$113),"")</f>
        <v/>
      </c>
      <c r="L243" s="116" t="str">
        <f>IF(AND('Mapa final'!$AB$114="Muy Baja",'Mapa final'!$AD$114="Leve"),CONCATENATE("R38C",'Mapa final'!$R$114),"")</f>
        <v/>
      </c>
      <c r="M243" s="115" t="str">
        <f>IF(AND('Mapa final'!$AB$112="Muy Baja",'Mapa final'!$AD$112="Menor"),CONCATENATE("R38C",'Mapa final'!$R$112),"")</f>
        <v/>
      </c>
      <c r="N243" s="54" t="str">
        <f>IF(AND('Mapa final'!$AB$113="Muy Baja",'Mapa final'!$AD$113="Menor"),CONCATENATE("R38C",'Mapa final'!$R$113),"")</f>
        <v>R38C2</v>
      </c>
      <c r="O243" s="116" t="str">
        <f>IF(AND('Mapa final'!$AB$114="Muy Baja",'Mapa final'!$AD$114="Menor"),CONCATENATE("R38C",'Mapa final'!$R$114),"")</f>
        <v/>
      </c>
      <c r="P243" s="49" t="str">
        <f>IF(AND('Mapa final'!$AB$112="Muy Baja",'Mapa final'!$AD$112="Moderado"),CONCATENATE("R38C",'Mapa final'!$R$112),"")</f>
        <v/>
      </c>
      <c r="Q243" s="50" t="str">
        <f>IF(AND('Mapa final'!$AB$113="Muy Baja",'Mapa final'!$AD$113="Moderado"),CONCATENATE("R38C",'Mapa final'!$R$113),"")</f>
        <v/>
      </c>
      <c r="R243" s="111" t="str">
        <f>IF(AND('Mapa final'!$AB$114="Muy Baja",'Mapa final'!$AD$114="Moderado"),CONCATENATE("R38C",'Mapa final'!$R$114),"")</f>
        <v/>
      </c>
      <c r="S243" s="105" t="str">
        <f>IF(AND('Mapa final'!$AB$112="Muy Baja",'Mapa final'!$AD$112="Mayor"),CONCATENATE("R38C",'Mapa final'!$R$112),"")</f>
        <v/>
      </c>
      <c r="T243" s="42" t="str">
        <f>IF(AND('Mapa final'!$AB$113="Muy Baja",'Mapa final'!$AD$113="Mayor"),CONCATENATE("R38C",'Mapa final'!$R$113),"")</f>
        <v/>
      </c>
      <c r="U243" s="106" t="str">
        <f>IF(AND('Mapa final'!$AB$114="Muy Baja",'Mapa final'!$AD$114="Mayor"),CONCATENATE("R38C",'Mapa final'!$R$114),"")</f>
        <v/>
      </c>
      <c r="V243" s="43" t="str">
        <f>IF(AND('Mapa final'!$AB$112="Muy Baja",'Mapa final'!$AD$112="Catastrófico"),CONCATENATE("R38C",'Mapa final'!$R$112),"")</f>
        <v/>
      </c>
      <c r="W243" s="44" t="str">
        <f>IF(AND('Mapa final'!$AB$113="Muy Baja",'Mapa final'!$AD$113="Catastrófico"),CONCATENATE("R38C",'Mapa final'!$R$113),"")</f>
        <v/>
      </c>
      <c r="X243" s="100" t="str">
        <f>IF(AND('Mapa final'!$AB$114="Muy Baja",'Mapa final'!$AD$114="Catastrófico"),CONCATENATE("R38C",'Mapa final'!$R$114),"")</f>
        <v/>
      </c>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row>
    <row r="244" spans="1:65" ht="15" customHeight="1" x14ac:dyDescent="0.35">
      <c r="A244" s="56"/>
      <c r="B244" s="307"/>
      <c r="C244" s="307"/>
      <c r="D244" s="308"/>
      <c r="E244" s="284"/>
      <c r="F244" s="297"/>
      <c r="G244" s="297"/>
      <c r="H244" s="297"/>
      <c r="I244" s="279"/>
      <c r="J244" s="115" t="str">
        <f>IF(AND('Mapa final'!$AB$115="Muy Baja",'Mapa final'!$AD$115="Leve"),CONCATENATE("R39C",'Mapa final'!$R$115),"")</f>
        <v/>
      </c>
      <c r="K244" s="54" t="str">
        <f>IF(AND('Mapa final'!$AB$116="Muy Baja",'Mapa final'!$AD$116="Leve"),CONCATENATE("R39C",'Mapa final'!$R$116),"")</f>
        <v/>
      </c>
      <c r="L244" s="116" t="str">
        <f>IF(AND('Mapa final'!$AB$117="Muy Baja",'Mapa final'!$AD$117="Leve"),CONCATENATE("R39C",'Mapa final'!$R$117),"")</f>
        <v/>
      </c>
      <c r="M244" s="115" t="str">
        <f>IF(AND('Mapa final'!$AB$115="Muy Baja",'Mapa final'!$AD$115="Menor"),CONCATENATE("R39C",'Mapa final'!$R$115),"")</f>
        <v/>
      </c>
      <c r="N244" s="54" t="str">
        <f>IF(AND('Mapa final'!$AB$116="Muy Baja",'Mapa final'!$AD$116="Menor"),CONCATENATE("R39C",'Mapa final'!$R$116),"")</f>
        <v/>
      </c>
      <c r="O244" s="116" t="str">
        <f>IF(AND('Mapa final'!$AB$117="Muy Baja",'Mapa final'!$AD$117="Menor"),CONCATENATE("R39C",'Mapa final'!$R$117),"")</f>
        <v/>
      </c>
      <c r="P244" s="49" t="str">
        <f>IF(AND('Mapa final'!$AB$115="Muy Baja",'Mapa final'!$AD$115="Moderado"),CONCATENATE("R39C",'Mapa final'!$R$115),"")</f>
        <v/>
      </c>
      <c r="Q244" s="50" t="str">
        <f>IF(AND('Mapa final'!$AB$116="Muy Baja",'Mapa final'!$AD$116="Moderado"),CONCATENATE("R39C",'Mapa final'!$R$116),"")</f>
        <v/>
      </c>
      <c r="R244" s="111" t="str">
        <f>IF(AND('Mapa final'!$AB$117="Muy Baja",'Mapa final'!$AD$117="Moderado"),CONCATENATE("R39C",'Mapa final'!$R$117),"")</f>
        <v/>
      </c>
      <c r="S244" s="105" t="str">
        <f>IF(AND('Mapa final'!$AB$115="Muy Baja",'Mapa final'!$AD$115="Mayor"),CONCATENATE("R39C",'Mapa final'!$R$115),"")</f>
        <v/>
      </c>
      <c r="T244" s="42" t="str">
        <f>IF(AND('Mapa final'!$AB$116="Muy Baja",'Mapa final'!$AD$116="Mayor"),CONCATENATE("R39C",'Mapa final'!$R$116),"")</f>
        <v/>
      </c>
      <c r="U244" s="106" t="str">
        <f>IF(AND('Mapa final'!$AB$117="Muy Baja",'Mapa final'!$AD$117="Mayor"),CONCATENATE("R39C",'Mapa final'!$R$117),"")</f>
        <v/>
      </c>
      <c r="V244" s="43" t="str">
        <f>IF(AND('Mapa final'!$AB$115="Muy Baja",'Mapa final'!$AD$115="Catastrófico"),CONCATENATE("R39C",'Mapa final'!$R$115),"")</f>
        <v/>
      </c>
      <c r="W244" s="44" t="str">
        <f>IF(AND('Mapa final'!$AB$116="Muy Baja",'Mapa final'!$AD$116="Catastrófico"),CONCATENATE("R39C",'Mapa final'!$R$116),"")</f>
        <v/>
      </c>
      <c r="X244" s="100" t="str">
        <f>IF(AND('Mapa final'!$AB$117="Muy Baja",'Mapa final'!$AD$117="Catastrófico"),CONCATENATE("R39C",'Mapa final'!$R$117),"")</f>
        <v/>
      </c>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row>
    <row r="245" spans="1:65" ht="15" customHeight="1" x14ac:dyDescent="0.35">
      <c r="A245" s="56"/>
      <c r="B245" s="307"/>
      <c r="C245" s="307"/>
      <c r="D245" s="308"/>
      <c r="E245" s="284"/>
      <c r="F245" s="297"/>
      <c r="G245" s="297"/>
      <c r="H245" s="297"/>
      <c r="I245" s="279"/>
      <c r="J245" s="115" t="str">
        <f>IF(AND('Mapa final'!$AB$118="Muy Baja",'Mapa final'!$AD$118="Leve"),CONCATENATE("R40C",'Mapa final'!$R$118),"")</f>
        <v/>
      </c>
      <c r="K245" s="54" t="str">
        <f>IF(AND('Mapa final'!$AB$119="Muy Baja",'Mapa final'!$AD$119="Leve"),CONCATENATE("R40C",'Mapa final'!$R$119),"")</f>
        <v/>
      </c>
      <c r="L245" s="116" t="str">
        <f>IF(AND('Mapa final'!$AB$120="Muy Baja",'Mapa final'!$AD$120="Leve"),CONCATENATE("R40C",'Mapa final'!$R$120),"")</f>
        <v/>
      </c>
      <c r="M245" s="115" t="str">
        <f>IF(AND('Mapa final'!$AB$118="Muy Baja",'Mapa final'!$AD$118="Menor"),CONCATENATE("R40C",'Mapa final'!$R$118),"")</f>
        <v/>
      </c>
      <c r="N245" s="54" t="str">
        <f>IF(AND('Mapa final'!$AB$119="Muy Baja",'Mapa final'!$AD$119="Menor"),CONCATENATE("R40C",'Mapa final'!$R$119),"")</f>
        <v/>
      </c>
      <c r="O245" s="116" t="str">
        <f>IF(AND('Mapa final'!$AB$120="Muy Baja",'Mapa final'!$AD$120="Menor"),CONCATENATE("R40C",'Mapa final'!$R$120),"")</f>
        <v/>
      </c>
      <c r="P245" s="49" t="str">
        <f>IF(AND('Mapa final'!$AB$118="Muy Baja",'Mapa final'!$AD$118="Moderado"),CONCATENATE("R40C",'Mapa final'!$R$118),"")</f>
        <v/>
      </c>
      <c r="Q245" s="50" t="str">
        <f>IF(AND('Mapa final'!$AB$119="Muy Baja",'Mapa final'!$AD$119="Moderado"),CONCATENATE("R40C",'Mapa final'!$R$119),"")</f>
        <v/>
      </c>
      <c r="R245" s="111" t="str">
        <f>IF(AND('Mapa final'!$AB$120="Muy Baja",'Mapa final'!$AD$120="Moderado"),CONCATENATE("R40C",'Mapa final'!$R$120),"")</f>
        <v/>
      </c>
      <c r="S245" s="105" t="str">
        <f>IF(AND('Mapa final'!$AB$118="Muy Baja",'Mapa final'!$AD$118="Mayor"),CONCATENATE("R40C",'Mapa final'!$R$118),"")</f>
        <v/>
      </c>
      <c r="T245" s="42" t="str">
        <f>IF(AND('Mapa final'!$AB$119="Muy Baja",'Mapa final'!$AD$119="Mayor"),CONCATENATE("R40C",'Mapa final'!$R$119),"")</f>
        <v/>
      </c>
      <c r="U245" s="106" t="str">
        <f>IF(AND('Mapa final'!$AB$120="Muy Baja",'Mapa final'!$AD$120="Mayor"),CONCATENATE("R40C",'Mapa final'!$R$120),"")</f>
        <v/>
      </c>
      <c r="V245" s="43" t="str">
        <f>IF(AND('Mapa final'!$AB$118="Muy Baja",'Mapa final'!$AD$118="Catastrófico"),CONCATENATE("R40C",'Mapa final'!$R$118),"")</f>
        <v/>
      </c>
      <c r="W245" s="44" t="str">
        <f>IF(AND('Mapa final'!$AB$119="Muy Baja",'Mapa final'!$AD$119="Catastrófico"),CONCATENATE("R40C",'Mapa final'!$R$119),"")</f>
        <v/>
      </c>
      <c r="X245" s="100" t="str">
        <f>IF(AND('Mapa final'!$AB$120="Muy Baja",'Mapa final'!$AD$120="Catastrófico"),CONCATENATE("R40C",'Mapa final'!$R$120),"")</f>
        <v/>
      </c>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row>
    <row r="246" spans="1:65" ht="15" customHeight="1" x14ac:dyDescent="0.35">
      <c r="A246" s="56"/>
      <c r="B246" s="307"/>
      <c r="C246" s="307"/>
      <c r="D246" s="308"/>
      <c r="E246" s="284"/>
      <c r="F246" s="297"/>
      <c r="G246" s="297"/>
      <c r="H246" s="297"/>
      <c r="I246" s="279"/>
      <c r="J246" s="115" t="str">
        <f>IF(AND('Mapa final'!$AB$121="Muy Baja",'Mapa final'!$AD$121="Leve"),CONCATENATE("R41C",'Mapa final'!$R$121),"")</f>
        <v/>
      </c>
      <c r="K246" s="54" t="str">
        <f>IF(AND('Mapa final'!$AB$122="Muy Baja",'Mapa final'!$AD$122="Leve"),CONCATENATE("R41C",'Mapa final'!$R$122),"")</f>
        <v/>
      </c>
      <c r="L246" s="116" t="str">
        <f>IF(AND('Mapa final'!$AB$123="Muy Baja",'Mapa final'!$AD$123="Leve"),CONCATENATE("R41C",'Mapa final'!$R$123),"")</f>
        <v/>
      </c>
      <c r="M246" s="115" t="str">
        <f>IF(AND('Mapa final'!$AB$121="Muy Baja",'Mapa final'!$AD$121="Menor"),CONCATENATE("R41C",'Mapa final'!$R$121),"")</f>
        <v/>
      </c>
      <c r="N246" s="54" t="str">
        <f>IF(AND('Mapa final'!$AB$122="Muy Baja",'Mapa final'!$AD$122="Menor"),CONCATENATE("R41C",'Mapa final'!$R$122),"")</f>
        <v/>
      </c>
      <c r="O246" s="116" t="str">
        <f>IF(AND('Mapa final'!$AB$123="Muy Baja",'Mapa final'!$AD$123="Menor"),CONCATENATE("R41C",'Mapa final'!$R$123),"")</f>
        <v/>
      </c>
      <c r="P246" s="49" t="str">
        <f>IF(AND('Mapa final'!$AB$121="Muy Baja",'Mapa final'!$AD$121="Moderado"),CONCATENATE("R41C",'Mapa final'!$R$121),"")</f>
        <v/>
      </c>
      <c r="Q246" s="50" t="str">
        <f>IF(AND('Mapa final'!$AB$122="Muy Baja",'Mapa final'!$AD$122="Moderado"),CONCATENATE("R41C",'Mapa final'!$R$122),"")</f>
        <v/>
      </c>
      <c r="R246" s="111" t="str">
        <f>IF(AND('Mapa final'!$AB$123="Muy Baja",'Mapa final'!$AD$123="Moderado"),CONCATENATE("R41C",'Mapa final'!$R$123),"")</f>
        <v/>
      </c>
      <c r="S246" s="105" t="str">
        <f>IF(AND('Mapa final'!$AB$121="Muy Baja",'Mapa final'!$AD$121="Mayor"),CONCATENATE("R41C",'Mapa final'!$R$121),"")</f>
        <v/>
      </c>
      <c r="T246" s="42" t="str">
        <f>IF(AND('Mapa final'!$AB$122="Muy Baja",'Mapa final'!$AD$122="Mayor"),CONCATENATE("R41C",'Mapa final'!$R$122),"")</f>
        <v/>
      </c>
      <c r="U246" s="106" t="str">
        <f>IF(AND('Mapa final'!$AB$123="Muy Baja",'Mapa final'!$AD$123="Mayor"),CONCATENATE("R41C",'Mapa final'!$R$123),"")</f>
        <v/>
      </c>
      <c r="V246" s="43" t="str">
        <f>IF(AND('Mapa final'!$AB$121="Muy Baja",'Mapa final'!$AD$121="Catastrófico"),CONCATENATE("R41C",'Mapa final'!$R$121),"")</f>
        <v/>
      </c>
      <c r="W246" s="44" t="str">
        <f>IF(AND('Mapa final'!$AB$122="Muy Baja",'Mapa final'!$AD$122="Catastrófico"),CONCATENATE("R41C",'Mapa final'!$R$122),"")</f>
        <v/>
      </c>
      <c r="X246" s="100" t="str">
        <f>IF(AND('Mapa final'!$AB$123="Muy Baja",'Mapa final'!$AD$123="Catastrófico"),CONCATENATE("R41C",'Mapa final'!$R$123),"")</f>
        <v/>
      </c>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row>
    <row r="247" spans="1:65" ht="15" customHeight="1" x14ac:dyDescent="0.35">
      <c r="A247" s="56"/>
      <c r="B247" s="307"/>
      <c r="C247" s="307"/>
      <c r="D247" s="308"/>
      <c r="E247" s="284"/>
      <c r="F247" s="297"/>
      <c r="G247" s="297"/>
      <c r="H247" s="297"/>
      <c r="I247" s="279"/>
      <c r="J247" s="115" t="str">
        <f>IF(AND('Mapa final'!$AB$124="Muy Baja",'Mapa final'!$AD$124="Leve"),CONCATENATE("R42C",'Mapa final'!$R$124),"")</f>
        <v/>
      </c>
      <c r="K247" s="54" t="str">
        <f>IF(AND('Mapa final'!$AB$125="Muy Baja",'Mapa final'!$AD$125="Leve"),CONCATENATE("R42C",'Mapa final'!$R$125),"")</f>
        <v/>
      </c>
      <c r="L247" s="116" t="str">
        <f>IF(AND('Mapa final'!$AB$126="Muy Baja",'Mapa final'!$AD$126="Leve"),CONCATENATE("R42C",'Mapa final'!$R$126),"")</f>
        <v/>
      </c>
      <c r="M247" s="115" t="str">
        <f>IF(AND('Mapa final'!$AB$124="Muy Baja",'Mapa final'!$AD$124="Menor"),CONCATENATE("R42C",'Mapa final'!$R$124),"")</f>
        <v/>
      </c>
      <c r="N247" s="54" t="str">
        <f>IF(AND('Mapa final'!$AB$125="Muy Baja",'Mapa final'!$AD$125="Menor"),CONCATENATE("R42C",'Mapa final'!$R$125),"")</f>
        <v/>
      </c>
      <c r="O247" s="116" t="str">
        <f>IF(AND('Mapa final'!$AB$126="Muy Baja",'Mapa final'!$AD$126="Menor"),CONCATENATE("R42C",'Mapa final'!$R$126),"")</f>
        <v/>
      </c>
      <c r="P247" s="49" t="str">
        <f>IF(AND('Mapa final'!$AB$124="Muy Baja",'Mapa final'!$AD$124="Moderado"),CONCATENATE("R42C",'Mapa final'!$R$124),"")</f>
        <v/>
      </c>
      <c r="Q247" s="50" t="str">
        <f>IF(AND('Mapa final'!$AB$125="Muy Baja",'Mapa final'!$AD$125="Moderado"),CONCATENATE("R42C",'Mapa final'!$R$125),"")</f>
        <v/>
      </c>
      <c r="R247" s="111" t="str">
        <f>IF(AND('Mapa final'!$AB$126="Muy Baja",'Mapa final'!$AD$126="Moderado"),CONCATENATE("R42C",'Mapa final'!$R$126),"")</f>
        <v/>
      </c>
      <c r="S247" s="105" t="str">
        <f>IF(AND('Mapa final'!$AB$124="Muy Baja",'Mapa final'!$AD$124="Mayor"),CONCATENATE("R42C",'Mapa final'!$R$124),"")</f>
        <v/>
      </c>
      <c r="T247" s="42" t="str">
        <f>IF(AND('Mapa final'!$AB$125="Muy Baja",'Mapa final'!$AD$125="Mayor"),CONCATENATE("R42C",'Mapa final'!$R$125),"")</f>
        <v/>
      </c>
      <c r="U247" s="106" t="str">
        <f>IF(AND('Mapa final'!$AB$126="Muy Baja",'Mapa final'!$AD$126="Mayor"),CONCATENATE("R42C",'Mapa final'!$R$126),"")</f>
        <v/>
      </c>
      <c r="V247" s="43" t="str">
        <f>IF(AND('Mapa final'!$AB$124="Muy Baja",'Mapa final'!$AD$124="Catastrófico"),CONCATENATE("R42C",'Mapa final'!$R$124),"")</f>
        <v/>
      </c>
      <c r="W247" s="44" t="str">
        <f>IF(AND('Mapa final'!$AB$125="Muy Baja",'Mapa final'!$AD$125="Catastrófico"),CONCATENATE("R42C",'Mapa final'!$R$125),"")</f>
        <v/>
      </c>
      <c r="X247" s="100" t="str">
        <f>IF(AND('Mapa final'!$AB$126="Muy Baja",'Mapa final'!$AD$126="Catastrófico"),CONCATENATE("R42C",'Mapa final'!$R$126),"")</f>
        <v/>
      </c>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row>
    <row r="248" spans="1:65" ht="15" customHeight="1" x14ac:dyDescent="0.35">
      <c r="A248" s="56"/>
      <c r="B248" s="307"/>
      <c r="C248" s="307"/>
      <c r="D248" s="308"/>
      <c r="E248" s="284"/>
      <c r="F248" s="297"/>
      <c r="G248" s="297"/>
      <c r="H248" s="297"/>
      <c r="I248" s="279"/>
      <c r="J248" s="115" t="str">
        <f>IF(AND('Mapa final'!$AB$127="Muy Baja",'Mapa final'!$AD$127="Leve"),CONCATENATE("R43C",'Mapa final'!$R$127),"")</f>
        <v/>
      </c>
      <c r="K248" s="54" t="str">
        <f>IF(AND('Mapa final'!$AB$128="Muy Baja",'Mapa final'!$AD$128="Leve"),CONCATENATE("R43C",'Mapa final'!$R$128),"")</f>
        <v/>
      </c>
      <c r="L248" s="116" t="str">
        <f>IF(AND('Mapa final'!$AB$129="Muy Baja",'Mapa final'!$AD$129="Leve"),CONCATENATE("R43C",'Mapa final'!$R$129),"")</f>
        <v/>
      </c>
      <c r="M248" s="115" t="str">
        <f>IF(AND('Mapa final'!$AB$127="Muy Baja",'Mapa final'!$AD$127="Menor"),CONCATENATE("R43C",'Mapa final'!$R$127),"")</f>
        <v/>
      </c>
      <c r="N248" s="54" t="str">
        <f>IF(AND('Mapa final'!$AB$128="Muy Baja",'Mapa final'!$AD$128="Menor"),CONCATENATE("R43C",'Mapa final'!$R$128),"")</f>
        <v/>
      </c>
      <c r="O248" s="116" t="str">
        <f>IF(AND('Mapa final'!$AB$129="Muy Baja",'Mapa final'!$AD$129="Menor"),CONCATENATE("R43C",'Mapa final'!$R$129),"")</f>
        <v/>
      </c>
      <c r="P248" s="49" t="str">
        <f>IF(AND('Mapa final'!$AB$127="Muy Baja",'Mapa final'!$AD$127="Moderado"),CONCATENATE("R43C",'Mapa final'!$R$127),"")</f>
        <v/>
      </c>
      <c r="Q248" s="50" t="str">
        <f>IF(AND('Mapa final'!$AB$128="Muy Baja",'Mapa final'!$AD$128="Moderado"),CONCATENATE("R43C",'Mapa final'!$R$128),"")</f>
        <v/>
      </c>
      <c r="R248" s="111" t="str">
        <f>IF(AND('Mapa final'!$AB$129="Muy Baja",'Mapa final'!$AD$129="Moderado"),CONCATENATE("R43C",'Mapa final'!$R$129),"")</f>
        <v/>
      </c>
      <c r="S248" s="105" t="str">
        <f>IF(AND('Mapa final'!$AB$127="Muy Baja",'Mapa final'!$AD$127="Mayor"),CONCATENATE("R43C",'Mapa final'!$R$127),"")</f>
        <v/>
      </c>
      <c r="T248" s="42" t="str">
        <f>IF(AND('Mapa final'!$AB$128="Muy Baja",'Mapa final'!$AD$128="Mayor"),CONCATENATE("R43C",'Mapa final'!$R$128),"")</f>
        <v/>
      </c>
      <c r="U248" s="106" t="str">
        <f>IF(AND('Mapa final'!$AB$129="Muy Baja",'Mapa final'!$AD$129="Mayor"),CONCATENATE("R43C",'Mapa final'!$R$129),"")</f>
        <v>R43C3</v>
      </c>
      <c r="V248" s="43" t="str">
        <f>IF(AND('Mapa final'!$AB$127="Muy Baja",'Mapa final'!$AD$127="Catastrófico"),CONCATENATE("R43C",'Mapa final'!$R$127),"")</f>
        <v/>
      </c>
      <c r="W248" s="44" t="str">
        <f>IF(AND('Mapa final'!$AB$128="Muy Baja",'Mapa final'!$AD$128="Catastrófico"),CONCATENATE("R43C",'Mapa final'!$R$128),"")</f>
        <v/>
      </c>
      <c r="X248" s="100" t="str">
        <f>IF(AND('Mapa final'!$AB$129="Muy Baja",'Mapa final'!$AD$129="Catastrófico"),CONCATENATE("R43C",'Mapa final'!$R$129),"")</f>
        <v/>
      </c>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row>
    <row r="249" spans="1:65" ht="15" customHeight="1" x14ac:dyDescent="0.35">
      <c r="A249" s="56"/>
      <c r="B249" s="307"/>
      <c r="C249" s="307"/>
      <c r="D249" s="308"/>
      <c r="E249" s="284"/>
      <c r="F249" s="297"/>
      <c r="G249" s="297"/>
      <c r="H249" s="297"/>
      <c r="I249" s="279"/>
      <c r="J249" s="115" t="str">
        <f>IF(AND('Mapa final'!$AB$130="Muy Baja",'Mapa final'!$AD$130="Leve"),CONCATENATE("R44C",'Mapa final'!$R$130),"")</f>
        <v/>
      </c>
      <c r="K249" s="54" t="str">
        <f>IF(AND('Mapa final'!$AB$131="Muy Baja",'Mapa final'!$AD$131="Leve"),CONCATENATE("R44C",'Mapa final'!$R$131),"")</f>
        <v/>
      </c>
      <c r="L249" s="116" t="str">
        <f>IF(AND('Mapa final'!$AB$132="Muy Baja",'Mapa final'!$AD$132="Leve"),CONCATENATE("R44C",'Mapa final'!$R$132),"")</f>
        <v/>
      </c>
      <c r="M249" s="115" t="str">
        <f>IF(AND('Mapa final'!$AB$130="Muy Baja",'Mapa final'!$AD$130="Menor"),CONCATENATE("R44C",'Mapa final'!$R$130),"")</f>
        <v/>
      </c>
      <c r="N249" s="54" t="str">
        <f>IF(AND('Mapa final'!$AB$131="Muy Baja",'Mapa final'!$AD$131="Menor"),CONCATENATE("R44C",'Mapa final'!$R$131),"")</f>
        <v/>
      </c>
      <c r="O249" s="116" t="str">
        <f>IF(AND('Mapa final'!$AB$132="Muy Baja",'Mapa final'!$AD$132="Menor"),CONCATENATE("R44C",'Mapa final'!$R$132),"")</f>
        <v/>
      </c>
      <c r="P249" s="49" t="str">
        <f>IF(AND('Mapa final'!$AB$130="Muy Baja",'Mapa final'!$AD$130="Moderado"),CONCATENATE("R44C",'Mapa final'!$R$130),"")</f>
        <v/>
      </c>
      <c r="Q249" s="50" t="str">
        <f>IF(AND('Mapa final'!$AB$131="Muy Baja",'Mapa final'!$AD$131="Moderado"),CONCATENATE("R44C",'Mapa final'!$R$131),"")</f>
        <v/>
      </c>
      <c r="R249" s="111" t="str">
        <f>IF(AND('Mapa final'!$AB$132="Muy Baja",'Mapa final'!$AD$132="Moderado"),CONCATENATE("R44C",'Mapa final'!$R$132),"")</f>
        <v/>
      </c>
      <c r="S249" s="105" t="str">
        <f>IF(AND('Mapa final'!$AB$130="Muy Baja",'Mapa final'!$AD$130="Mayor"),CONCATENATE("R44C",'Mapa final'!$R$130),"")</f>
        <v/>
      </c>
      <c r="T249" s="42" t="str">
        <f>IF(AND('Mapa final'!$AB$131="Muy Baja",'Mapa final'!$AD$131="Mayor"),CONCATENATE("R44C",'Mapa final'!$R$131),"")</f>
        <v/>
      </c>
      <c r="U249" s="106" t="str">
        <f>IF(AND('Mapa final'!$AB$132="Muy Baja",'Mapa final'!$AD$132="Mayor"),CONCATENATE("R44C",'Mapa final'!$R$132),"")</f>
        <v/>
      </c>
      <c r="V249" s="43" t="str">
        <f>IF(AND('Mapa final'!$AB$130="Muy Baja",'Mapa final'!$AD$130="Catastrófico"),CONCATENATE("R44C",'Mapa final'!$R$130),"")</f>
        <v/>
      </c>
      <c r="W249" s="44" t="str">
        <f>IF(AND('Mapa final'!$AB$131="Muy Baja",'Mapa final'!$AD$131="Catastrófico"),CONCATENATE("R44C",'Mapa final'!$R$131),"")</f>
        <v/>
      </c>
      <c r="X249" s="100" t="str">
        <f>IF(AND('Mapa final'!$AB$132="Muy Baja",'Mapa final'!$AD$132="Catastrófico"),CONCATENATE("R44C",'Mapa final'!$R$132),"")</f>
        <v/>
      </c>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row>
    <row r="250" spans="1:65" ht="15" customHeight="1" x14ac:dyDescent="0.35">
      <c r="A250" s="56"/>
      <c r="B250" s="307"/>
      <c r="C250" s="307"/>
      <c r="D250" s="308"/>
      <c r="E250" s="284"/>
      <c r="F250" s="297"/>
      <c r="G250" s="297"/>
      <c r="H250" s="297"/>
      <c r="I250" s="279"/>
      <c r="J250" s="115" t="str">
        <f>IF(AND('Mapa final'!$AB$133="Muy Baja",'Mapa final'!$AD$133="Leve"),CONCATENATE("R45C",'Mapa final'!$R$133),"")</f>
        <v/>
      </c>
      <c r="K250" s="54" t="str">
        <f>IF(AND('Mapa final'!$AB$134="Muy Baja",'Mapa final'!$AD$134="Leve"),CONCATENATE("R45C",'Mapa final'!$R$134),"")</f>
        <v/>
      </c>
      <c r="L250" s="116" t="str">
        <f>IF(AND('Mapa final'!$AB$135="Muy Baja",'Mapa final'!$AD$135="Leve"),CONCATENATE("R45C",'Mapa final'!$R$135),"")</f>
        <v/>
      </c>
      <c r="M250" s="115" t="str">
        <f>IF(AND('Mapa final'!$AB$133="Muy Baja",'Mapa final'!$AD$133="Menor"),CONCATENATE("R45C",'Mapa final'!$R$133),"")</f>
        <v/>
      </c>
      <c r="N250" s="54" t="str">
        <f>IF(AND('Mapa final'!$AB$134="Muy Baja",'Mapa final'!$AD$134="Menor"),CONCATENATE("R45C",'Mapa final'!$R$134),"")</f>
        <v/>
      </c>
      <c r="O250" s="116" t="str">
        <f>IF(AND('Mapa final'!$AB$135="Muy Baja",'Mapa final'!$AD$135="Menor"),CONCATENATE("R45C",'Mapa final'!$R$135),"")</f>
        <v/>
      </c>
      <c r="P250" s="49" t="str">
        <f>IF(AND('Mapa final'!$AB$133="Muy Baja",'Mapa final'!$AD$133="Moderado"),CONCATENATE("R45C",'Mapa final'!$R$133),"")</f>
        <v/>
      </c>
      <c r="Q250" s="50" t="str">
        <f>IF(AND('Mapa final'!$AB$134="Muy Baja",'Mapa final'!$AD$134="Moderado"),CONCATENATE("R45C",'Mapa final'!$R$134),"")</f>
        <v/>
      </c>
      <c r="R250" s="111" t="str">
        <f>IF(AND('Mapa final'!$AB$135="Muy Baja",'Mapa final'!$AD$135="Moderado"),CONCATENATE("R45C",'Mapa final'!$R$135),"")</f>
        <v/>
      </c>
      <c r="S250" s="105" t="str">
        <f>IF(AND('Mapa final'!$AB$133="Muy Baja",'Mapa final'!$AD$133="Mayor"),CONCATENATE("R45C",'Mapa final'!$R$133),"")</f>
        <v/>
      </c>
      <c r="T250" s="42" t="str">
        <f>IF(AND('Mapa final'!$AB$134="Muy Baja",'Mapa final'!$AD$134="Mayor"),CONCATENATE("R45C",'Mapa final'!$R$134),"")</f>
        <v/>
      </c>
      <c r="U250" s="106" t="str">
        <f>IF(AND('Mapa final'!$AB$135="Muy Baja",'Mapa final'!$AD$135="Mayor"),CONCATENATE("R45C",'Mapa final'!$R$135),"")</f>
        <v/>
      </c>
      <c r="V250" s="43" t="str">
        <f>IF(AND('Mapa final'!$AB$133="Muy Baja",'Mapa final'!$AD$133="Catastrófico"),CONCATENATE("R45C",'Mapa final'!$R$133),"")</f>
        <v/>
      </c>
      <c r="W250" s="44" t="str">
        <f>IF(AND('Mapa final'!$AB$134="Muy Baja",'Mapa final'!$AD$134="Catastrófico"),CONCATENATE("R45C",'Mapa final'!$R$134),"")</f>
        <v/>
      </c>
      <c r="X250" s="100" t="str">
        <f>IF(AND('Mapa final'!$AB$135="Muy Baja",'Mapa final'!$AD$135="Catastrófico"),CONCATENATE("R45C",'Mapa final'!$R$135),"")</f>
        <v/>
      </c>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row>
    <row r="251" spans="1:65" ht="15" customHeight="1" x14ac:dyDescent="0.35">
      <c r="A251" s="56"/>
      <c r="B251" s="307"/>
      <c r="C251" s="307"/>
      <c r="D251" s="308"/>
      <c r="E251" s="284"/>
      <c r="F251" s="297"/>
      <c r="G251" s="297"/>
      <c r="H251" s="297"/>
      <c r="I251" s="279"/>
      <c r="J251" s="115" t="str">
        <f>IF(AND('Mapa final'!$AB$136="Muy Baja",'Mapa final'!$AD$136="Leve"),CONCATENATE("R46C",'Mapa final'!$R$136),"")</f>
        <v/>
      </c>
      <c r="K251" s="54" t="str">
        <f>IF(AND('Mapa final'!$AB$137="Muy Baja",'Mapa final'!$AD$137="Leve"),CONCATENATE("R46C",'Mapa final'!$R$137),"")</f>
        <v/>
      </c>
      <c r="L251" s="116" t="str">
        <f>IF(AND('Mapa final'!$AB$138="Muy Baja",'Mapa final'!$AD$138="Leve"),CONCATENATE("R46C",'Mapa final'!$R$138),"")</f>
        <v/>
      </c>
      <c r="M251" s="115" t="str">
        <f>IF(AND('Mapa final'!$AB$136="Muy Baja",'Mapa final'!$AD$136="Menor"),CONCATENATE("R46C",'Mapa final'!$R$136),"")</f>
        <v/>
      </c>
      <c r="N251" s="54" t="str">
        <f>IF(AND('Mapa final'!$AB$137="Muy Baja",'Mapa final'!$AD$137="Menor"),CONCATENATE("R46C",'Mapa final'!$R$137),"")</f>
        <v/>
      </c>
      <c r="O251" s="116" t="str">
        <f>IF(AND('Mapa final'!$AB$138="Muy Baja",'Mapa final'!$AD$138="Menor"),CONCATENATE("R46C",'Mapa final'!$R$138),"")</f>
        <v/>
      </c>
      <c r="P251" s="49" t="str">
        <f>IF(AND('Mapa final'!$AB$136="Muy Baja",'Mapa final'!$AD$136="Moderado"),CONCATENATE("R46C",'Mapa final'!$R$136),"")</f>
        <v/>
      </c>
      <c r="Q251" s="50" t="str">
        <f>IF(AND('Mapa final'!$AB$137="Muy Baja",'Mapa final'!$AD$137="Moderado"),CONCATENATE("R46C",'Mapa final'!$R$137),"")</f>
        <v/>
      </c>
      <c r="R251" s="111" t="str">
        <f>IF(AND('Mapa final'!$AB$138="Muy Baja",'Mapa final'!$AD$138="Moderado"),CONCATENATE("R46C",'Mapa final'!$R$138),"")</f>
        <v/>
      </c>
      <c r="S251" s="105" t="str">
        <f>IF(AND('Mapa final'!$AB$136="Muy Baja",'Mapa final'!$AD$136="Mayor"),CONCATENATE("R46C",'Mapa final'!$R$136),"")</f>
        <v/>
      </c>
      <c r="T251" s="42" t="str">
        <f>IF(AND('Mapa final'!$AB$137="Muy Baja",'Mapa final'!$AD$137="Mayor"),CONCATENATE("R46C",'Mapa final'!$R$137),"")</f>
        <v/>
      </c>
      <c r="U251" s="106" t="str">
        <f>IF(AND('Mapa final'!$AB$138="Muy Baja",'Mapa final'!$AD$138="Mayor"),CONCATENATE("R46C",'Mapa final'!$R$138),"")</f>
        <v/>
      </c>
      <c r="V251" s="43" t="str">
        <f>IF(AND('Mapa final'!$AB$136="Muy Baja",'Mapa final'!$AD$136="Catastrófico"),CONCATENATE("R46C",'Mapa final'!$R$136),"")</f>
        <v/>
      </c>
      <c r="W251" s="44" t="str">
        <f>IF(AND('Mapa final'!$AB$137="Muy Baja",'Mapa final'!$AD$137="Catastrófico"),CONCATENATE("R46C",'Mapa final'!$R$137),"")</f>
        <v/>
      </c>
      <c r="X251" s="100" t="str">
        <f>IF(AND('Mapa final'!$AB$138="Muy Baja",'Mapa final'!$AD$138="Catastrófico"),CONCATENATE("R46C",'Mapa final'!$R$138),"")</f>
        <v/>
      </c>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row>
    <row r="252" spans="1:65" ht="15" customHeight="1" x14ac:dyDescent="0.35">
      <c r="A252" s="56"/>
      <c r="B252" s="307"/>
      <c r="C252" s="307"/>
      <c r="D252" s="308"/>
      <c r="E252" s="284"/>
      <c r="F252" s="297"/>
      <c r="G252" s="297"/>
      <c r="H252" s="297"/>
      <c r="I252" s="279"/>
      <c r="J252" s="115" t="str">
        <f>IF(AND('Mapa final'!$AB$139="Muy Baja",'Mapa final'!$AD$139="Leve"),CONCATENATE("R47C",'Mapa final'!$R$139),"")</f>
        <v/>
      </c>
      <c r="K252" s="54" t="str">
        <f>IF(AND('Mapa final'!$AB$140="Muy Baja",'Mapa final'!$AD$140="Leve"),CONCATENATE("R47C",'Mapa final'!$R$140),"")</f>
        <v/>
      </c>
      <c r="L252" s="116" t="str">
        <f>IF(AND('Mapa final'!$AB$141="Muy Baja",'Mapa final'!$AD$141="Leve"),CONCATENATE("R47C",'Mapa final'!$R$141),"")</f>
        <v/>
      </c>
      <c r="M252" s="115" t="str">
        <f>IF(AND('Mapa final'!$AB$139="Muy Baja",'Mapa final'!$AD$139="Menor"),CONCATENATE("R47C",'Mapa final'!$R$139),"")</f>
        <v/>
      </c>
      <c r="N252" s="54" t="str">
        <f>IF(AND('Mapa final'!$AB$140="Muy Baja",'Mapa final'!$AD$140="Menor"),CONCATENATE("R47C",'Mapa final'!$R$140),"")</f>
        <v/>
      </c>
      <c r="O252" s="116" t="str">
        <f>IF(AND('Mapa final'!$AB$141="Muy Baja",'Mapa final'!$AD$141="Menor"),CONCATENATE("R47C",'Mapa final'!$R$141),"")</f>
        <v/>
      </c>
      <c r="P252" s="49" t="str">
        <f>IF(AND('Mapa final'!$AB$139="Muy Baja",'Mapa final'!$AD$139="Moderado"),CONCATENATE("R47C",'Mapa final'!$R$139),"")</f>
        <v/>
      </c>
      <c r="Q252" s="50" t="str">
        <f>IF(AND('Mapa final'!$AB$140="Muy Baja",'Mapa final'!$AD$140="Moderado"),CONCATENATE("R47C",'Mapa final'!$R$140),"")</f>
        <v/>
      </c>
      <c r="R252" s="111" t="str">
        <f>IF(AND('Mapa final'!$AB$141="Muy Baja",'Mapa final'!$AD$141="Moderado"),CONCATENATE("R47C",'Mapa final'!$R$141),"")</f>
        <v/>
      </c>
      <c r="S252" s="105" t="str">
        <f>IF(AND('Mapa final'!$AB$139="Muy Baja",'Mapa final'!$AD$139="Mayor"),CONCATENATE("R47C",'Mapa final'!$R$139),"")</f>
        <v/>
      </c>
      <c r="T252" s="42" t="str">
        <f>IF(AND('Mapa final'!$AB$140="Muy Baja",'Mapa final'!$AD$140="Mayor"),CONCATENATE("R47C",'Mapa final'!$R$140),"")</f>
        <v/>
      </c>
      <c r="U252" s="106" t="str">
        <f>IF(AND('Mapa final'!$AB$141="Muy Baja",'Mapa final'!$AD$141="Mayor"),CONCATENATE("R47C",'Mapa final'!$R$141),"")</f>
        <v/>
      </c>
      <c r="V252" s="43" t="str">
        <f>IF(AND('Mapa final'!$AB$139="Muy Baja",'Mapa final'!$AD$139="Catastrófico"),CONCATENATE("R47C",'Mapa final'!$R$139),"")</f>
        <v/>
      </c>
      <c r="W252" s="44" t="str">
        <f>IF(AND('Mapa final'!$AB$140="Muy Baja",'Mapa final'!$AD$140="Catastrófico"),CONCATENATE("R47C",'Mapa final'!$R$140),"")</f>
        <v/>
      </c>
      <c r="X252" s="100" t="str">
        <f>IF(AND('Mapa final'!$AB$141="Muy Baja",'Mapa final'!$AD$141="Catastrófico"),CONCATENATE("R47C",'Mapa final'!$R$141),"")</f>
        <v/>
      </c>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row>
    <row r="253" spans="1:65" ht="15" customHeight="1" x14ac:dyDescent="0.35">
      <c r="A253" s="56"/>
      <c r="B253" s="307"/>
      <c r="C253" s="307"/>
      <c r="D253" s="308"/>
      <c r="E253" s="284"/>
      <c r="F253" s="297"/>
      <c r="G253" s="297"/>
      <c r="H253" s="297"/>
      <c r="I253" s="279"/>
      <c r="J253" s="115" t="str">
        <f>IF(AND('Mapa final'!$AB$142="Muy Baja",'Mapa final'!$AD$142="Leve"),CONCATENATE("R48C",'Mapa final'!$R$142),"")</f>
        <v/>
      </c>
      <c r="K253" s="54" t="str">
        <f>IF(AND('Mapa final'!$AB$143="Muy Baja",'Mapa final'!$AD$143="Leve"),CONCATENATE("R48C",'Mapa final'!$R$143),"")</f>
        <v/>
      </c>
      <c r="L253" s="116" t="str">
        <f>IF(AND('Mapa final'!$AB$144="Muy Baja",'Mapa final'!$AD$144="Leve"),CONCATENATE("R48C",'Mapa final'!$R$144),"")</f>
        <v/>
      </c>
      <c r="M253" s="115" t="str">
        <f>IF(AND('Mapa final'!$AB$142="Muy Baja",'Mapa final'!$AD$142="Menor"),CONCATENATE("R48C",'Mapa final'!$R$142),"")</f>
        <v/>
      </c>
      <c r="N253" s="54" t="str">
        <f>IF(AND('Mapa final'!$AB$143="Muy Baja",'Mapa final'!$AD$143="Menor"),CONCATENATE("R48C",'Mapa final'!$R$143),"")</f>
        <v/>
      </c>
      <c r="O253" s="116" t="str">
        <f>IF(AND('Mapa final'!$AB$144="Muy Baja",'Mapa final'!$AD$144="Menor"),CONCATENATE("R48C",'Mapa final'!$R$144),"")</f>
        <v/>
      </c>
      <c r="P253" s="49" t="str">
        <f>IF(AND('Mapa final'!$AB$142="Muy Baja",'Mapa final'!$AD$142="Moderado"),CONCATENATE("R48C",'Mapa final'!$R$142),"")</f>
        <v/>
      </c>
      <c r="Q253" s="50" t="str">
        <f>IF(AND('Mapa final'!$AB$143="Muy Baja",'Mapa final'!$AD$143="Moderado"),CONCATENATE("R48C",'Mapa final'!$R$143),"")</f>
        <v/>
      </c>
      <c r="R253" s="111" t="str">
        <f>IF(AND('Mapa final'!$AB$144="Muy Baja",'Mapa final'!$AD$144="Moderado"),CONCATENATE("R48C",'Mapa final'!$R$144),"")</f>
        <v/>
      </c>
      <c r="S253" s="105" t="str">
        <f>IF(AND('Mapa final'!$AB$142="Muy Baja",'Mapa final'!$AD$142="Mayor"),CONCATENATE("R48C",'Mapa final'!$R$142),"")</f>
        <v/>
      </c>
      <c r="T253" s="42" t="str">
        <f>IF(AND('Mapa final'!$AB$143="Muy Baja",'Mapa final'!$AD$143="Mayor"),CONCATENATE("R48C",'Mapa final'!$R$143),"")</f>
        <v/>
      </c>
      <c r="U253" s="106" t="str">
        <f>IF(AND('Mapa final'!$AB$144="Muy Baja",'Mapa final'!$AD$144="Mayor"),CONCATENATE("R48C",'Mapa final'!$R$144),"")</f>
        <v/>
      </c>
      <c r="V253" s="43" t="str">
        <f>IF(AND('Mapa final'!$AB$142="Muy Baja",'Mapa final'!$AD$142="Catastrófico"),CONCATENATE("R48C",'Mapa final'!$R$142),"")</f>
        <v/>
      </c>
      <c r="W253" s="44" t="str">
        <f>IF(AND('Mapa final'!$AB$143="Muy Baja",'Mapa final'!$AD$143="Catastrófico"),CONCATENATE("R48C",'Mapa final'!$R$143),"")</f>
        <v/>
      </c>
      <c r="X253" s="100" t="str">
        <f>IF(AND('Mapa final'!$AB$144="Muy Baja",'Mapa final'!$AD$144="Catastrófico"),CONCATENATE("R48C",'Mapa final'!$R$144),"")</f>
        <v/>
      </c>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row>
    <row r="254" spans="1:65" ht="15" customHeight="1" x14ac:dyDescent="0.35">
      <c r="A254" s="56"/>
      <c r="B254" s="307"/>
      <c r="C254" s="307"/>
      <c r="D254" s="308"/>
      <c r="E254" s="284"/>
      <c r="F254" s="297"/>
      <c r="G254" s="297"/>
      <c r="H254" s="297"/>
      <c r="I254" s="279"/>
      <c r="J254" s="115" t="str">
        <f>IF(AND('Mapa final'!$AB$145="Muy Baja",'Mapa final'!$AD$145="Leve"),CONCATENATE("R49C",'Mapa final'!$R$145),"")</f>
        <v/>
      </c>
      <c r="K254" s="54" t="str">
        <f>IF(AND('Mapa final'!$AB$146="Muy Baja",'Mapa final'!$AD$146="Leve"),CONCATENATE("R49C",'Mapa final'!$R$146),"")</f>
        <v/>
      </c>
      <c r="L254" s="116" t="str">
        <f>IF(AND('Mapa final'!$AB$147="Muy Baja",'Mapa final'!$AD$147="Leve"),CONCATENATE("R49C",'Mapa final'!$R$147),"")</f>
        <v/>
      </c>
      <c r="M254" s="115" t="str">
        <f>IF(AND('Mapa final'!$AB$145="Muy Baja",'Mapa final'!$AD$145="Menor"),CONCATENATE("R49C",'Mapa final'!$R$145),"")</f>
        <v/>
      </c>
      <c r="N254" s="54" t="str">
        <f>IF(AND('Mapa final'!$AB$146="Muy Baja",'Mapa final'!$AD$146="Menor"),CONCATENATE("R49C",'Mapa final'!$R$146),"")</f>
        <v/>
      </c>
      <c r="O254" s="116" t="str">
        <f>IF(AND('Mapa final'!$AB$147="Muy Baja",'Mapa final'!$AD$147="Menor"),CONCATENATE("R49C",'Mapa final'!$R$147),"")</f>
        <v/>
      </c>
      <c r="P254" s="49" t="str">
        <f>IF(AND('Mapa final'!$AB$145="Muy Baja",'Mapa final'!$AD$145="Moderado"),CONCATENATE("R49C",'Mapa final'!$R$145),"")</f>
        <v/>
      </c>
      <c r="Q254" s="50" t="str">
        <f>IF(AND('Mapa final'!$AB$146="Muy Baja",'Mapa final'!$AD$146="Moderado"),CONCATENATE("R49C",'Mapa final'!$R$146),"")</f>
        <v/>
      </c>
      <c r="R254" s="111" t="str">
        <f>IF(AND('Mapa final'!$AB$147="Muy Baja",'Mapa final'!$AD$147="Moderado"),CONCATENATE("R49C",'Mapa final'!$R$147),"")</f>
        <v/>
      </c>
      <c r="S254" s="105" t="str">
        <f>IF(AND('Mapa final'!$AB$145="Muy Baja",'Mapa final'!$AD$145="Mayor"),CONCATENATE("R49C",'Mapa final'!$R$145),"")</f>
        <v/>
      </c>
      <c r="T254" s="42" t="str">
        <f>IF(AND('Mapa final'!$AB$146="Muy Baja",'Mapa final'!$AD$146="Mayor"),CONCATENATE("R49C",'Mapa final'!$R$146),"")</f>
        <v/>
      </c>
      <c r="U254" s="106" t="str">
        <f>IF(AND('Mapa final'!$AB$147="Muy Baja",'Mapa final'!$AD$147="Mayor"),CONCATENATE("R49C",'Mapa final'!$R$147),"")</f>
        <v/>
      </c>
      <c r="V254" s="43" t="str">
        <f>IF(AND('Mapa final'!$AB$145="Muy Baja",'Mapa final'!$AD$145="Catastrófico"),CONCATENATE("R49C",'Mapa final'!$R$145),"")</f>
        <v/>
      </c>
      <c r="W254" s="44" t="str">
        <f>IF(AND('Mapa final'!$AB$146="Muy Baja",'Mapa final'!$AD$146="Catastrófico"),CONCATENATE("R49C",'Mapa final'!$R$146),"")</f>
        <v/>
      </c>
      <c r="X254" s="100" t="str">
        <f>IF(AND('Mapa final'!$AB$147="Muy Baja",'Mapa final'!$AD$147="Catastrófico"),CONCATENATE("R49C",'Mapa final'!$R$147),"")</f>
        <v/>
      </c>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row>
    <row r="255" spans="1:65" ht="15" customHeight="1" thickBot="1" x14ac:dyDescent="0.4">
      <c r="A255" s="56"/>
      <c r="B255" s="307"/>
      <c r="C255" s="307"/>
      <c r="D255" s="308"/>
      <c r="E255" s="284"/>
      <c r="F255" s="297"/>
      <c r="G255" s="297"/>
      <c r="H255" s="297"/>
      <c r="I255" s="279"/>
      <c r="J255" s="117" t="str">
        <f>IF(AND('Mapa final'!$AB$148="Muy Baja",'Mapa final'!$AD$148="Leve"),CONCATENATE("R50C",'Mapa final'!$R$148),"")</f>
        <v/>
      </c>
      <c r="K255" s="55" t="str">
        <f>IF(AND('Mapa final'!$AB$149="Muy Baja",'Mapa final'!$AD$149="Leve"),CONCATENATE("R50C",'Mapa final'!$R$149),"")</f>
        <v/>
      </c>
      <c r="L255" s="118" t="str">
        <f>IF(AND('Mapa final'!$AB$150="Muy Baja",'Mapa final'!$AD$150="Leve"),CONCATENATE("R50C",'Mapa final'!$R$150),"")</f>
        <v/>
      </c>
      <c r="M255" s="117" t="str">
        <f>IF(AND('Mapa final'!$AB$148="Muy Baja",'Mapa final'!$AD$148="Menor"),CONCATENATE("R50C",'Mapa final'!$R$148),"")</f>
        <v/>
      </c>
      <c r="N255" s="55" t="str">
        <f>IF(AND('Mapa final'!$AB$149="Muy Baja",'Mapa final'!$AD$149="Menor"),CONCATENATE("R50C",'Mapa final'!$R$149),"")</f>
        <v/>
      </c>
      <c r="O255" s="118" t="str">
        <f>IF(AND('Mapa final'!$AB$150="Muy Baja",'Mapa final'!$AD$150="Menor"),CONCATENATE("R50C",'Mapa final'!$R$150),"")</f>
        <v/>
      </c>
      <c r="P255" s="51" t="str">
        <f>IF(AND('Mapa final'!$AB$148="Muy Baja",'Mapa final'!$AD$148="Moderado"),CONCATENATE("R50C",'Mapa final'!$R$148),"")</f>
        <v/>
      </c>
      <c r="Q255" s="52" t="str">
        <f>IF(AND('Mapa final'!$AB$149="Muy Baja",'Mapa final'!$AD$149="Moderado"),CONCATENATE("R50C",'Mapa final'!$R$149),"")</f>
        <v/>
      </c>
      <c r="R255" s="112" t="str">
        <f>IF(AND('Mapa final'!$AB$150="Muy Baja",'Mapa final'!$AD$150="Moderado"),CONCATENATE("R50C",'Mapa final'!$R$150),"")</f>
        <v/>
      </c>
      <c r="S255" s="107" t="str">
        <f>IF(AND('Mapa final'!$AB$148="Muy Baja",'Mapa final'!$AD$148="Mayor"),CONCATENATE("R50C",'Mapa final'!$R$148),"")</f>
        <v/>
      </c>
      <c r="T255" s="108" t="str">
        <f>IF(AND('Mapa final'!$AB$149="Muy Baja",'Mapa final'!$AD$149="Mayor"),CONCATENATE("R50C",'Mapa final'!$R$149),"")</f>
        <v/>
      </c>
      <c r="U255" s="109" t="str">
        <f>IF(AND('Mapa final'!$AB$150="Muy Baja",'Mapa final'!$AD$150="Mayor"),CONCATENATE("R50C",'Mapa final'!$R$150),"")</f>
        <v/>
      </c>
      <c r="V255" s="45" t="str">
        <f>IF(AND('Mapa final'!$AB$148="Muy Baja",'Mapa final'!$AD$148="Catastrófico"),CONCATENATE("R50C",'Mapa final'!$R$148),"")</f>
        <v/>
      </c>
      <c r="W255" s="46" t="str">
        <f>IF(AND('Mapa final'!$AB$149="Muy Baja",'Mapa final'!$AD$149="Catastrófico"),CONCATENATE("R50C",'Mapa final'!$R$149),"")</f>
        <v/>
      </c>
      <c r="X255" s="101" t="str">
        <f>IF(AND('Mapa final'!$AB$150="Muy Baja",'Mapa final'!$AD$150="Catastrófico"),CONCATENATE("R50C",'Mapa final'!$R$150),"")</f>
        <v/>
      </c>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row>
    <row r="256" spans="1:65" x14ac:dyDescent="0.35">
      <c r="A256" s="56"/>
      <c r="B256" s="56"/>
      <c r="C256" s="56"/>
      <c r="D256" s="56"/>
      <c r="E256" s="56"/>
      <c r="F256" s="56"/>
      <c r="G256" s="56"/>
      <c r="H256" s="56"/>
      <c r="I256" s="56"/>
      <c r="J256" s="278" t="s">
        <v>103</v>
      </c>
      <c r="K256" s="279"/>
      <c r="L256" s="279"/>
      <c r="M256" s="283" t="s">
        <v>102</v>
      </c>
      <c r="N256" s="279"/>
      <c r="O256" s="279"/>
      <c r="P256" s="283" t="s">
        <v>101</v>
      </c>
      <c r="Q256" s="279"/>
      <c r="R256" s="279"/>
      <c r="S256" s="283" t="s">
        <v>100</v>
      </c>
      <c r="T256" s="286"/>
      <c r="U256" s="279"/>
      <c r="V256" s="283" t="s">
        <v>99</v>
      </c>
      <c r="W256" s="279"/>
      <c r="X256" s="287"/>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row>
    <row r="257" spans="1:65" x14ac:dyDescent="0.35">
      <c r="A257" s="56"/>
      <c r="B257" s="56"/>
      <c r="C257" s="56"/>
      <c r="D257" s="56"/>
      <c r="E257" s="56"/>
      <c r="F257" s="56"/>
      <c r="G257" s="56"/>
      <c r="H257" s="56"/>
      <c r="I257" s="56"/>
      <c r="J257" s="280"/>
      <c r="K257" s="279"/>
      <c r="L257" s="279"/>
      <c r="M257" s="284"/>
      <c r="N257" s="279"/>
      <c r="O257" s="279"/>
      <c r="P257" s="284"/>
      <c r="Q257" s="279"/>
      <c r="R257" s="279"/>
      <c r="S257" s="284"/>
      <c r="T257" s="279"/>
      <c r="U257" s="279"/>
      <c r="V257" s="284"/>
      <c r="W257" s="279"/>
      <c r="X257" s="287"/>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row>
    <row r="258" spans="1:65" x14ac:dyDescent="0.35">
      <c r="A258" s="56"/>
      <c r="B258" s="56"/>
      <c r="C258" s="56"/>
      <c r="D258" s="56"/>
      <c r="E258" s="56"/>
      <c r="F258" s="56"/>
      <c r="G258" s="56"/>
      <c r="H258" s="56"/>
      <c r="I258" s="56"/>
      <c r="J258" s="280"/>
      <c r="K258" s="279"/>
      <c r="L258" s="279"/>
      <c r="M258" s="284"/>
      <c r="N258" s="279"/>
      <c r="O258" s="279"/>
      <c r="P258" s="284"/>
      <c r="Q258" s="279"/>
      <c r="R258" s="279"/>
      <c r="S258" s="284"/>
      <c r="T258" s="279"/>
      <c r="U258" s="279"/>
      <c r="V258" s="284"/>
      <c r="W258" s="279"/>
      <c r="X258" s="287"/>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row>
    <row r="259" spans="1:65" x14ac:dyDescent="0.35">
      <c r="A259" s="56"/>
      <c r="B259" s="56"/>
      <c r="C259" s="56"/>
      <c r="D259" s="56"/>
      <c r="E259" s="56"/>
      <c r="F259" s="56"/>
      <c r="G259" s="56"/>
      <c r="H259" s="56"/>
      <c r="I259" s="56"/>
      <c r="J259" s="280"/>
      <c r="K259" s="279"/>
      <c r="L259" s="279"/>
      <c r="M259" s="284"/>
      <c r="N259" s="279"/>
      <c r="O259" s="279"/>
      <c r="P259" s="284"/>
      <c r="Q259" s="279"/>
      <c r="R259" s="279"/>
      <c r="S259" s="284"/>
      <c r="T259" s="279"/>
      <c r="U259" s="279"/>
      <c r="V259" s="284"/>
      <c r="W259" s="279"/>
      <c r="X259" s="287"/>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row>
    <row r="260" spans="1:65" x14ac:dyDescent="0.35">
      <c r="A260" s="56"/>
      <c r="B260" s="56"/>
      <c r="C260" s="56"/>
      <c r="D260" s="56"/>
      <c r="E260" s="56"/>
      <c r="F260" s="56"/>
      <c r="G260" s="56"/>
      <c r="H260" s="56"/>
      <c r="I260" s="56"/>
      <c r="J260" s="280"/>
      <c r="K260" s="279"/>
      <c r="L260" s="279"/>
      <c r="M260" s="284"/>
      <c r="N260" s="279"/>
      <c r="O260" s="279"/>
      <c r="P260" s="284"/>
      <c r="Q260" s="279"/>
      <c r="R260" s="279"/>
      <c r="S260" s="284"/>
      <c r="T260" s="279"/>
      <c r="U260" s="279"/>
      <c r="V260" s="284"/>
      <c r="W260" s="279"/>
      <c r="X260" s="287"/>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row>
    <row r="261" spans="1:65" ht="15" thickBot="1" x14ac:dyDescent="0.4">
      <c r="A261" s="56"/>
      <c r="B261" s="56"/>
      <c r="C261" s="56"/>
      <c r="D261" s="56"/>
      <c r="E261" s="56"/>
      <c r="F261" s="56"/>
      <c r="G261" s="56"/>
      <c r="H261" s="56"/>
      <c r="I261" s="56"/>
      <c r="J261" s="281"/>
      <c r="K261" s="282"/>
      <c r="L261" s="282"/>
      <c r="M261" s="285"/>
      <c r="N261" s="282"/>
      <c r="O261" s="282"/>
      <c r="P261" s="285"/>
      <c r="Q261" s="282"/>
      <c r="R261" s="282"/>
      <c r="S261" s="285"/>
      <c r="T261" s="282"/>
      <c r="U261" s="282"/>
      <c r="V261" s="285"/>
      <c r="W261" s="282"/>
      <c r="X261" s="288"/>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row>
    <row r="262" spans="1:65" x14ac:dyDescent="0.3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1:65" ht="15" customHeight="1" x14ac:dyDescent="0.35">
      <c r="A263" s="56"/>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56"/>
      <c r="AG263" s="56"/>
      <c r="AH263" s="56"/>
      <c r="AI263" s="56"/>
      <c r="AJ263" s="56"/>
      <c r="AK263" s="56"/>
      <c r="AL263" s="56"/>
      <c r="AM263" s="56"/>
      <c r="AN263" s="56"/>
      <c r="AO263" s="56"/>
      <c r="AP263" s="56"/>
      <c r="AQ263" s="56"/>
      <c r="AR263" s="56"/>
      <c r="AS263" s="56"/>
    </row>
    <row r="264" spans="1:65" ht="15" customHeight="1" x14ac:dyDescent="0.35">
      <c r="A264" s="56"/>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56"/>
      <c r="AG264" s="56"/>
      <c r="AH264" s="56"/>
      <c r="AI264" s="56"/>
      <c r="AJ264" s="56"/>
      <c r="AK264" s="56"/>
      <c r="AL264" s="56"/>
      <c r="AM264" s="56"/>
      <c r="AN264" s="56"/>
      <c r="AO264" s="56"/>
      <c r="AP264" s="56"/>
      <c r="AQ264" s="56"/>
      <c r="AR264" s="56"/>
      <c r="AS264" s="56"/>
    </row>
    <row r="265" spans="1:65" x14ac:dyDescent="0.3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1:65" x14ac:dyDescent="0.3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1:65" x14ac:dyDescent="0.3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1:65" x14ac:dyDescent="0.3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1:65" x14ac:dyDescent="0.3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1:65" x14ac:dyDescent="0.3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1:65" x14ac:dyDescent="0.3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1:65" x14ac:dyDescent="0.3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1:45" x14ac:dyDescent="0.3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1:45" x14ac:dyDescent="0.3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1:45" x14ac:dyDescent="0.3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1:45" x14ac:dyDescent="0.3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1:45" x14ac:dyDescent="0.3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1:45" x14ac:dyDescent="0.3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1:45" x14ac:dyDescent="0.3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1:45" x14ac:dyDescent="0.3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1:45" x14ac:dyDescent="0.3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1:45" x14ac:dyDescent="0.3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1:45" x14ac:dyDescent="0.3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1:45" x14ac:dyDescent="0.3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1:45" x14ac:dyDescent="0.3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1:45" x14ac:dyDescent="0.3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1:45" x14ac:dyDescent="0.3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1:45" x14ac:dyDescent="0.3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1:45" x14ac:dyDescent="0.3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1:45" x14ac:dyDescent="0.3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1:45" x14ac:dyDescent="0.3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1:45" x14ac:dyDescent="0.3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1:45" x14ac:dyDescent="0.3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1:45" x14ac:dyDescent="0.3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1:45" x14ac:dyDescent="0.3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1:45" x14ac:dyDescent="0.3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1:45" x14ac:dyDescent="0.3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1:45" x14ac:dyDescent="0.3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1:45" x14ac:dyDescent="0.3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1:45" x14ac:dyDescent="0.3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1:45" x14ac:dyDescent="0.3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1:45" x14ac:dyDescent="0.3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1:45" x14ac:dyDescent="0.3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1:45" x14ac:dyDescent="0.3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1:45" x14ac:dyDescent="0.3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1:45" x14ac:dyDescent="0.3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1:45" x14ac:dyDescent="0.3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1:45" x14ac:dyDescent="0.3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1:45" x14ac:dyDescent="0.3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1:45" x14ac:dyDescent="0.3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1:45" x14ac:dyDescent="0.3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1:45" x14ac:dyDescent="0.3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1:45" x14ac:dyDescent="0.3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1:45" x14ac:dyDescent="0.3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1:45" x14ac:dyDescent="0.3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1:45" x14ac:dyDescent="0.3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1:45" x14ac:dyDescent="0.3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1:45" x14ac:dyDescent="0.3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1:45" x14ac:dyDescent="0.3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1:45" x14ac:dyDescent="0.3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1:45" x14ac:dyDescent="0.3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1:45" x14ac:dyDescent="0.3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1:45" x14ac:dyDescent="0.3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1:45" x14ac:dyDescent="0.3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1:45" x14ac:dyDescent="0.3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1:45" x14ac:dyDescent="0.3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1:45" x14ac:dyDescent="0.3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1:45" x14ac:dyDescent="0.3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1:45" x14ac:dyDescent="0.3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1:45" x14ac:dyDescent="0.3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1:45" x14ac:dyDescent="0.3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1:45" x14ac:dyDescent="0.3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1:45" x14ac:dyDescent="0.3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1:45" x14ac:dyDescent="0.3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1:45" x14ac:dyDescent="0.3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1:45" x14ac:dyDescent="0.3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1:45" x14ac:dyDescent="0.3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1:45" x14ac:dyDescent="0.3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1:45" x14ac:dyDescent="0.3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1:45" x14ac:dyDescent="0.3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1:45" x14ac:dyDescent="0.3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1:45" x14ac:dyDescent="0.3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1:45" x14ac:dyDescent="0.3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1:45" x14ac:dyDescent="0.3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1:45" x14ac:dyDescent="0.3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1:45" x14ac:dyDescent="0.3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1:45" x14ac:dyDescent="0.3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1:45" x14ac:dyDescent="0.3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1:45" x14ac:dyDescent="0.3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1:45" x14ac:dyDescent="0.3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1:45" x14ac:dyDescent="0.3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1:45" x14ac:dyDescent="0.3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1:45" x14ac:dyDescent="0.3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1:45" x14ac:dyDescent="0.3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1:45" x14ac:dyDescent="0.3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1:45" x14ac:dyDescent="0.3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1:45" x14ac:dyDescent="0.3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1:45" x14ac:dyDescent="0.3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1:45" x14ac:dyDescent="0.3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1:45" x14ac:dyDescent="0.3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1:45" x14ac:dyDescent="0.3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1:45" x14ac:dyDescent="0.3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1:45" x14ac:dyDescent="0.3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1:45" x14ac:dyDescent="0.3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1:45" x14ac:dyDescent="0.3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1:45" x14ac:dyDescent="0.3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1:45" x14ac:dyDescent="0.3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1:45" x14ac:dyDescent="0.3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1:45" x14ac:dyDescent="0.3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1:45" x14ac:dyDescent="0.3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1:45" x14ac:dyDescent="0.3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1:45" x14ac:dyDescent="0.3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1:45" x14ac:dyDescent="0.3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1:45" x14ac:dyDescent="0.3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1:45" x14ac:dyDescent="0.3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1:45" x14ac:dyDescent="0.3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row r="377" spans="1:45" x14ac:dyDescent="0.3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row>
    <row r="378" spans="1:45" x14ac:dyDescent="0.3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row>
    <row r="379" spans="1:45" x14ac:dyDescent="0.3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row>
    <row r="380" spans="1:45" x14ac:dyDescent="0.3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row>
    <row r="381" spans="1:45" x14ac:dyDescent="0.3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row>
    <row r="382" spans="1:45" x14ac:dyDescent="0.3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row>
    <row r="383" spans="1:45" x14ac:dyDescent="0.3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row>
    <row r="384" spans="1:45" x14ac:dyDescent="0.3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row>
    <row r="385" spans="1:45" x14ac:dyDescent="0.3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row>
    <row r="386" spans="1:45" x14ac:dyDescent="0.3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row>
    <row r="387" spans="1:45" x14ac:dyDescent="0.3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row>
    <row r="388" spans="1:45" x14ac:dyDescent="0.3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row>
    <row r="389" spans="1:45" x14ac:dyDescent="0.3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row>
    <row r="390" spans="1:45" x14ac:dyDescent="0.3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row>
    <row r="391" spans="1:45" x14ac:dyDescent="0.35">
      <c r="A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row>
    <row r="392" spans="1:45" x14ac:dyDescent="0.35">
      <c r="A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row>
    <row r="393" spans="1:45" x14ac:dyDescent="0.35">
      <c r="A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row>
    <row r="394" spans="1:45" x14ac:dyDescent="0.35">
      <c r="A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row>
    <row r="395" spans="1:45" x14ac:dyDescent="0.35">
      <c r="A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row>
    <row r="396" spans="1:45" x14ac:dyDescent="0.35">
      <c r="A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row>
    <row r="397" spans="1:45" x14ac:dyDescent="0.35">
      <c r="A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row>
    <row r="398" spans="1:45" x14ac:dyDescent="0.35">
      <c r="A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row>
    <row r="399" spans="1:45" x14ac:dyDescent="0.35">
      <c r="A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row>
    <row r="400" spans="1:45" x14ac:dyDescent="0.35">
      <c r="A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row>
    <row r="401" spans="1:45" x14ac:dyDescent="0.35">
      <c r="A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row>
    <row r="402" spans="1:45" x14ac:dyDescent="0.35">
      <c r="A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row>
    <row r="403" spans="1:45" x14ac:dyDescent="0.35">
      <c r="A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row>
    <row r="404" spans="1:45" x14ac:dyDescent="0.35">
      <c r="A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row>
    <row r="405" spans="1:45" x14ac:dyDescent="0.35">
      <c r="A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row>
    <row r="406" spans="1:45" x14ac:dyDescent="0.35">
      <c r="A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row>
    <row r="407" spans="1:45" x14ac:dyDescent="0.35">
      <c r="A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row>
    <row r="408" spans="1:45" x14ac:dyDescent="0.35">
      <c r="A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row>
    <row r="409" spans="1:45" x14ac:dyDescent="0.35">
      <c r="A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row>
    <row r="410" spans="1:45" x14ac:dyDescent="0.35">
      <c r="A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row>
    <row r="411" spans="1:45" x14ac:dyDescent="0.35">
      <c r="A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row>
    <row r="412" spans="1:45" x14ac:dyDescent="0.35">
      <c r="A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row>
    <row r="413" spans="1:45" x14ac:dyDescent="0.35">
      <c r="A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row>
    <row r="414" spans="1:45" x14ac:dyDescent="0.35">
      <c r="A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row>
    <row r="415" spans="1:45" x14ac:dyDescent="0.35">
      <c r="A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row>
    <row r="416" spans="1:45" x14ac:dyDescent="0.35">
      <c r="A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row>
    <row r="417" spans="1:45" x14ac:dyDescent="0.35">
      <c r="A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row>
    <row r="418" spans="1:45" x14ac:dyDescent="0.35">
      <c r="A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row>
    <row r="419" spans="1:45" x14ac:dyDescent="0.35">
      <c r="A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row>
    <row r="420" spans="1:45" x14ac:dyDescent="0.35">
      <c r="A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row>
    <row r="421" spans="1:45" x14ac:dyDescent="0.35">
      <c r="A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row>
    <row r="422" spans="1:45" x14ac:dyDescent="0.35">
      <c r="A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row>
    <row r="423" spans="1:45" x14ac:dyDescent="0.35">
      <c r="A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row>
    <row r="424" spans="1:45" x14ac:dyDescent="0.35">
      <c r="A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row>
    <row r="425" spans="1:45" x14ac:dyDescent="0.35">
      <c r="A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row>
    <row r="426" spans="1:45" x14ac:dyDescent="0.35">
      <c r="A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row>
    <row r="427" spans="1:45" x14ac:dyDescent="0.35">
      <c r="A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row>
    <row r="428" spans="1:45" x14ac:dyDescent="0.35">
      <c r="A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row>
    <row r="429" spans="1:45" x14ac:dyDescent="0.35">
      <c r="A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row>
    <row r="430" spans="1:45" x14ac:dyDescent="0.35">
      <c r="A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row>
    <row r="431" spans="1:45" x14ac:dyDescent="0.35">
      <c r="A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row>
    <row r="432" spans="1:45" x14ac:dyDescent="0.35">
      <c r="A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row>
    <row r="433" spans="1:45" x14ac:dyDescent="0.35">
      <c r="A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row>
    <row r="434" spans="1:45" x14ac:dyDescent="0.35">
      <c r="A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row>
    <row r="435" spans="1:45" x14ac:dyDescent="0.35">
      <c r="A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row>
    <row r="436" spans="1:45" x14ac:dyDescent="0.35">
      <c r="A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row>
    <row r="437" spans="1:45" x14ac:dyDescent="0.35">
      <c r="A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row>
    <row r="438" spans="1:45" x14ac:dyDescent="0.35">
      <c r="A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row>
    <row r="439" spans="1:45" x14ac:dyDescent="0.35">
      <c r="A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row>
    <row r="440" spans="1:45" x14ac:dyDescent="0.35">
      <c r="A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row>
    <row r="441" spans="1:45" x14ac:dyDescent="0.35">
      <c r="A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row>
    <row r="442" spans="1:45" x14ac:dyDescent="0.35">
      <c r="A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row>
    <row r="443" spans="1:45" x14ac:dyDescent="0.35">
      <c r="A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row>
    <row r="444" spans="1:45" x14ac:dyDescent="0.35">
      <c r="A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row>
    <row r="445" spans="1:45" x14ac:dyDescent="0.35">
      <c r="A445" s="56"/>
    </row>
    <row r="446" spans="1:45" x14ac:dyDescent="0.35">
      <c r="A446" s="56"/>
    </row>
    <row r="447" spans="1:45" x14ac:dyDescent="0.35">
      <c r="A447" s="56"/>
    </row>
    <row r="448" spans="1:45" x14ac:dyDescent="0.35">
      <c r="A448" s="56"/>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153"/>
  <sheetViews>
    <sheetView tabSelected="1" zoomScale="55" zoomScaleNormal="55" workbookViewId="0">
      <pane ySplit="6" topLeftCell="A7" activePane="bottomLeft" state="frozen"/>
      <selection activeCell="A6" sqref="A6"/>
      <selection pane="bottomLeft" activeCell="C7" sqref="C7:C9"/>
    </sheetView>
  </sheetViews>
  <sheetFormatPr baseColWidth="10" defaultColWidth="11.453125" defaultRowHeight="14" x14ac:dyDescent="0.35"/>
  <cols>
    <col min="1" max="1" width="4" style="1" bestFit="1" customWidth="1"/>
    <col min="2" max="2" width="21.7265625" style="1" customWidth="1"/>
    <col min="3" max="3" width="25.54296875" style="1" customWidth="1"/>
    <col min="4" max="4" width="20.54296875" style="1" customWidth="1"/>
    <col min="5" max="5" width="15.54296875" style="1" customWidth="1"/>
    <col min="6" max="6" width="24.453125" style="1" customWidth="1"/>
    <col min="7" max="7" width="21.81640625" style="1" customWidth="1"/>
    <col min="8" max="8" width="32.453125" style="2" customWidth="1"/>
    <col min="9" max="9" width="19" style="1" customWidth="1"/>
    <col min="10" max="10" width="17.81640625" style="1" customWidth="1"/>
    <col min="11" max="11" width="16.54296875" style="1" customWidth="1"/>
    <col min="12" max="12" width="6.26953125" style="1" customWidth="1"/>
    <col min="13" max="13" width="33" style="1" customWidth="1"/>
    <col min="14" max="14" width="42" style="1" customWidth="1"/>
    <col min="15" max="15" width="15.453125" style="1" customWidth="1"/>
    <col min="16" max="16" width="6.26953125" style="1" customWidth="1"/>
    <col min="17" max="17" width="16" style="1" customWidth="1"/>
    <col min="18" max="18" width="5.81640625" style="1" customWidth="1"/>
    <col min="19" max="19" width="45.1796875" style="2" customWidth="1"/>
    <col min="20" max="20" width="15.1796875" style="1" customWidth="1"/>
    <col min="21" max="21" width="6.81640625" style="1" customWidth="1"/>
    <col min="22" max="22" width="5" style="1" customWidth="1"/>
    <col min="23" max="23" width="5.54296875" style="1" customWidth="1"/>
    <col min="24" max="24" width="7.1796875" style="1" customWidth="1"/>
    <col min="25" max="25" width="6.7265625" style="1" customWidth="1"/>
    <col min="26" max="26" width="7.54296875" style="1" customWidth="1"/>
    <col min="27" max="27" width="10.54296875" style="1" hidden="1" customWidth="1"/>
    <col min="28" max="28" width="8.7265625" style="1" hidden="1" customWidth="1"/>
    <col min="29" max="29" width="8.81640625" style="1" hidden="1" customWidth="1"/>
    <col min="30" max="30" width="9.26953125" style="1" hidden="1" customWidth="1"/>
    <col min="31" max="31" width="9.453125" style="1" hidden="1" customWidth="1"/>
    <col min="32" max="32" width="8.453125" style="1" hidden="1" customWidth="1"/>
    <col min="33" max="33" width="7.26953125" style="1" customWidth="1"/>
    <col min="34" max="34" width="23" style="2" customWidth="1"/>
    <col min="35" max="35" width="18.81640625" style="1" customWidth="1"/>
    <col min="36" max="36" width="12.54296875" style="124" customWidth="1"/>
    <col min="37" max="37" width="16.1796875" style="124" bestFit="1" customWidth="1"/>
    <col min="38" max="38" width="18.54296875" style="125" customWidth="1"/>
    <col min="39" max="39" width="21" style="2" customWidth="1"/>
    <col min="40" max="94" width="11.453125" style="217" customWidth="1"/>
    <col min="95" max="16384" width="11.453125" style="217"/>
  </cols>
  <sheetData>
    <row r="1" spans="1:39" ht="16.5" customHeight="1" x14ac:dyDescent="0.35">
      <c r="A1" s="379" t="s">
        <v>522</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1"/>
    </row>
    <row r="2" spans="1:39" ht="24" customHeight="1" x14ac:dyDescent="0.35">
      <c r="A2" s="382"/>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c r="AL2" s="383"/>
      <c r="AM2" s="384"/>
    </row>
    <row r="3" spans="1:39" x14ac:dyDescent="0.3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122"/>
      <c r="AK3" s="122"/>
      <c r="AL3" s="123"/>
      <c r="AM3" s="21"/>
    </row>
    <row r="4" spans="1:39" x14ac:dyDescent="0.35">
      <c r="A4" s="385" t="s">
        <v>125</v>
      </c>
      <c r="B4" s="386"/>
      <c r="C4" s="386"/>
      <c r="D4" s="386"/>
      <c r="E4" s="386"/>
      <c r="F4" s="386"/>
      <c r="G4" s="386"/>
      <c r="H4" s="386"/>
      <c r="I4" s="386"/>
      <c r="J4" s="387"/>
      <c r="K4" s="385" t="s">
        <v>126</v>
      </c>
      <c r="L4" s="386"/>
      <c r="M4" s="386"/>
      <c r="N4" s="386"/>
      <c r="O4" s="386"/>
      <c r="P4" s="386"/>
      <c r="Q4" s="387"/>
      <c r="R4" s="385" t="s">
        <v>127</v>
      </c>
      <c r="S4" s="386"/>
      <c r="T4" s="386"/>
      <c r="U4" s="386"/>
      <c r="V4" s="386"/>
      <c r="W4" s="386"/>
      <c r="X4" s="386"/>
      <c r="Y4" s="386"/>
      <c r="Z4" s="387"/>
      <c r="AA4" s="385" t="s">
        <v>128</v>
      </c>
      <c r="AB4" s="386"/>
      <c r="AC4" s="386"/>
      <c r="AD4" s="386"/>
      <c r="AE4" s="386"/>
      <c r="AF4" s="386"/>
      <c r="AG4" s="387"/>
      <c r="AH4" s="385" t="s">
        <v>34</v>
      </c>
      <c r="AI4" s="386"/>
      <c r="AJ4" s="386"/>
      <c r="AK4" s="386"/>
      <c r="AL4" s="386"/>
      <c r="AM4" s="387"/>
    </row>
    <row r="5" spans="1:39" ht="16.5" customHeight="1" x14ac:dyDescent="0.35">
      <c r="A5" s="388" t="s">
        <v>0</v>
      </c>
      <c r="B5" s="360" t="s">
        <v>188</v>
      </c>
      <c r="C5" s="360" t="s">
        <v>189</v>
      </c>
      <c r="D5" s="360" t="s">
        <v>172</v>
      </c>
      <c r="E5" s="366" t="s">
        <v>2</v>
      </c>
      <c r="F5" s="360" t="s">
        <v>3</v>
      </c>
      <c r="G5" s="360" t="s">
        <v>38</v>
      </c>
      <c r="H5" s="390" t="s">
        <v>1</v>
      </c>
      <c r="I5" s="367" t="s">
        <v>44</v>
      </c>
      <c r="J5" s="360" t="s">
        <v>121</v>
      </c>
      <c r="K5" s="362" t="s">
        <v>33</v>
      </c>
      <c r="L5" s="363" t="s">
        <v>5</v>
      </c>
      <c r="M5" s="367" t="s">
        <v>80</v>
      </c>
      <c r="N5" s="367" t="s">
        <v>85</v>
      </c>
      <c r="O5" s="365" t="s">
        <v>39</v>
      </c>
      <c r="P5" s="363" t="s">
        <v>5</v>
      </c>
      <c r="Q5" s="360" t="s">
        <v>42</v>
      </c>
      <c r="R5" s="358" t="s">
        <v>11</v>
      </c>
      <c r="S5" s="357" t="s">
        <v>137</v>
      </c>
      <c r="T5" s="367" t="s">
        <v>12</v>
      </c>
      <c r="U5" s="357" t="s">
        <v>8</v>
      </c>
      <c r="V5" s="357"/>
      <c r="W5" s="357"/>
      <c r="X5" s="357"/>
      <c r="Y5" s="357"/>
      <c r="Z5" s="357"/>
      <c r="AA5" s="361" t="s">
        <v>124</v>
      </c>
      <c r="AB5" s="361" t="s">
        <v>40</v>
      </c>
      <c r="AC5" s="361" t="s">
        <v>5</v>
      </c>
      <c r="AD5" s="361" t="s">
        <v>41</v>
      </c>
      <c r="AE5" s="361" t="s">
        <v>5</v>
      </c>
      <c r="AF5" s="361" t="s">
        <v>43</v>
      </c>
      <c r="AG5" s="358" t="s">
        <v>29</v>
      </c>
      <c r="AH5" s="357" t="s">
        <v>190</v>
      </c>
      <c r="AI5" s="357" t="s">
        <v>204</v>
      </c>
      <c r="AJ5" s="357" t="s">
        <v>194</v>
      </c>
      <c r="AK5" s="357" t="s">
        <v>195</v>
      </c>
      <c r="AL5" s="357" t="s">
        <v>599</v>
      </c>
      <c r="AM5" s="357" t="s">
        <v>35</v>
      </c>
    </row>
    <row r="6" spans="1:39" s="218" customFormat="1" ht="58.5" customHeight="1" x14ac:dyDescent="0.35">
      <c r="A6" s="389"/>
      <c r="B6" s="357"/>
      <c r="C6" s="357"/>
      <c r="D6" s="357"/>
      <c r="E6" s="366"/>
      <c r="F6" s="357"/>
      <c r="G6" s="357"/>
      <c r="H6" s="366"/>
      <c r="I6" s="360"/>
      <c r="J6" s="357"/>
      <c r="K6" s="360"/>
      <c r="L6" s="364"/>
      <c r="M6" s="360"/>
      <c r="N6" s="360"/>
      <c r="O6" s="364"/>
      <c r="P6" s="364"/>
      <c r="Q6" s="357"/>
      <c r="R6" s="359"/>
      <c r="S6" s="357"/>
      <c r="T6" s="360"/>
      <c r="U6" s="4" t="s">
        <v>13</v>
      </c>
      <c r="V6" s="4" t="s">
        <v>17</v>
      </c>
      <c r="W6" s="4" t="s">
        <v>28</v>
      </c>
      <c r="X6" s="4" t="s">
        <v>18</v>
      </c>
      <c r="Y6" s="4" t="s">
        <v>21</v>
      </c>
      <c r="Z6" s="4" t="s">
        <v>24</v>
      </c>
      <c r="AA6" s="361"/>
      <c r="AB6" s="361"/>
      <c r="AC6" s="361"/>
      <c r="AD6" s="361"/>
      <c r="AE6" s="361"/>
      <c r="AF6" s="361"/>
      <c r="AG6" s="359"/>
      <c r="AH6" s="357"/>
      <c r="AI6" s="357"/>
      <c r="AJ6" s="357"/>
      <c r="AK6" s="357"/>
      <c r="AL6" s="357"/>
      <c r="AM6" s="357"/>
    </row>
    <row r="7" spans="1:39" s="163" customFormat="1" ht="167.25" customHeight="1" x14ac:dyDescent="0.35">
      <c r="A7" s="368">
        <v>1</v>
      </c>
      <c r="B7" s="370" t="s">
        <v>327</v>
      </c>
      <c r="C7" s="373" t="s">
        <v>376</v>
      </c>
      <c r="D7" s="373" t="s">
        <v>191</v>
      </c>
      <c r="E7" s="345" t="s">
        <v>118</v>
      </c>
      <c r="F7" s="345" t="s">
        <v>433</v>
      </c>
      <c r="G7" s="345" t="s">
        <v>434</v>
      </c>
      <c r="H7" s="340" t="s">
        <v>540</v>
      </c>
      <c r="I7" s="345" t="s">
        <v>115</v>
      </c>
      <c r="J7" s="347">
        <v>4</v>
      </c>
      <c r="K7" s="349" t="str">
        <f>IF(J7&lt;=0,"",IF(J7&lt;=2,"Muy Baja",IF(J7&lt;=24,"Baja",IF(J7&lt;=500,"Media",IF(J7&lt;=5000,"Alta","Muy Alta")))))</f>
        <v>Baja</v>
      </c>
      <c r="L7" s="352">
        <f>IF(K7="","",IF(K7="Muy Baja",0.2,IF(K7="Baja",0.4,IF(K7="Media",0.6,IF(K7="Alta",0.8,IF(K7="Muy Alta",1,))))))</f>
        <v>0.4</v>
      </c>
      <c r="M7" s="355" t="s">
        <v>485</v>
      </c>
      <c r="N7" s="12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49" t="str">
        <f>IF(OR(N7='Tabla Impacto'!$C$11,N7='Tabla Impacto'!$D$11),"Leve",IF(OR(N7='Tabla Impacto'!$C$12,N7='Tabla Impacto'!$D$12),"Menor",IF(OR(N7='Tabla Impacto'!$C$13,N7='Tabla Impacto'!$D$13),"Moderado",IF(OR(N7='Tabla Impacto'!$C$14,N7='Tabla Impacto'!$D$14),"Mayor",IF(OR(N7='Tabla Impacto'!$C$15,N7='Tabla Impacto'!$D$15),"Catastrófico","")))))</f>
        <v>Moderado</v>
      </c>
      <c r="P7" s="352">
        <f>IF(O7="","",IF(O7="Leve",0.2,IF(O7="Menor",0.4,IF(O7="Moderado",0.6,IF(O7="Mayor",0.8,IF(O7="Catastrófico",1,))))))</f>
        <v>0.6</v>
      </c>
      <c r="Q7" s="342"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0">
        <v>1</v>
      </c>
      <c r="S7" s="98" t="s">
        <v>192</v>
      </c>
      <c r="T7" s="131" t="str">
        <f>IF(OR(U7="Preventivo",U7="Detectivo"),"Probabilidad",IF(U7="Correctivo","Impacto",""))</f>
        <v>Probabilidad</v>
      </c>
      <c r="U7" s="132" t="s">
        <v>14</v>
      </c>
      <c r="V7" s="132" t="s">
        <v>9</v>
      </c>
      <c r="W7" s="133" t="str">
        <f>IF(AND(U7="Preventivo",V7="Automático"),"50%",IF(AND(U7="Preventivo",V7="Manual"),"40%",IF(AND(U7="Detectivo",V7="Automático"),"40%",IF(AND(U7="Detectivo",V7="Manual"),"30%",IF(AND(U7="Correctivo",V7="Automático"),"35%",IF(AND(U7="Correctivo",V7="Manual"),"25%",""))))))</f>
        <v>40%</v>
      </c>
      <c r="X7" s="132" t="s">
        <v>19</v>
      </c>
      <c r="Y7" s="132" t="s">
        <v>22</v>
      </c>
      <c r="Z7" s="132" t="s">
        <v>110</v>
      </c>
      <c r="AA7" s="134">
        <f>IFERROR(IF(T7="Probabilidad",($L$7-(+$L$7*W7)),IF(T7="Impacto",$L$7,"")),"")</f>
        <v>0.24</v>
      </c>
      <c r="AB7" s="135" t="str">
        <f>IFERROR(IF(AA7="","",IF(AA7&lt;=0.2,"Muy Baja",IF(AA7&lt;=0.4,"Baja",IF(AA7&lt;=0.6,"Media",IF(AA7&lt;=0.8,"Alta","Muy Alta"))))),"")</f>
        <v>Baja</v>
      </c>
      <c r="AC7" s="136">
        <f>+AA7</f>
        <v>0.24</v>
      </c>
      <c r="AD7" s="135" t="str">
        <f>IFERROR(IF(AE7="","",IF(AE7&lt;=0.2,"Leve",IF(AE7&lt;=0.4,"Menor",IF(AE7&lt;=0.6,"Moderado",IF(AE7&lt;=0.8,"Mayor","Catastrófico"))))),"")</f>
        <v>Moderado</v>
      </c>
      <c r="AE7" s="136">
        <f>IFERROR(IF(T7="Impacto",($P$7-(+$P$7*W7)),IF(T7="Probabilidad",$P$7,"")),"")</f>
        <v>0.6</v>
      </c>
      <c r="AF7" s="137"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8" t="s">
        <v>122</v>
      </c>
      <c r="AH7" s="139" t="s">
        <v>539</v>
      </c>
      <c r="AI7" s="140" t="s">
        <v>203</v>
      </c>
      <c r="AJ7" s="141" t="s">
        <v>196</v>
      </c>
      <c r="AK7" s="141" t="s">
        <v>196</v>
      </c>
      <c r="AL7" s="98" t="s">
        <v>193</v>
      </c>
      <c r="AM7" s="140"/>
    </row>
    <row r="8" spans="1:39" s="163" customFormat="1" ht="167.25" customHeight="1" x14ac:dyDescent="0.35">
      <c r="A8" s="369"/>
      <c r="B8" s="371"/>
      <c r="C8" s="374"/>
      <c r="D8" s="375"/>
      <c r="E8" s="346"/>
      <c r="F8" s="346"/>
      <c r="G8" s="346"/>
      <c r="H8" s="341"/>
      <c r="I8" s="346"/>
      <c r="J8" s="348"/>
      <c r="K8" s="350"/>
      <c r="L8" s="353"/>
      <c r="M8" s="356"/>
      <c r="N8" s="142"/>
      <c r="O8" s="350"/>
      <c r="P8" s="353"/>
      <c r="Q8" s="343"/>
      <c r="R8" s="130">
        <v>2</v>
      </c>
      <c r="S8" s="98"/>
      <c r="T8" s="131" t="str">
        <f t="shared" ref="T8:T9" si="0">IF(OR(U8="Preventivo",U8="Detectivo"),"Probabilidad",IF(U8="Correctivo","Impacto",""))</f>
        <v/>
      </c>
      <c r="U8" s="132"/>
      <c r="V8" s="132"/>
      <c r="W8" s="133" t="str">
        <f t="shared" ref="W8" si="1">IF(AND(U8="Preventivo",V8="Automático"),"50%",IF(AND(U8="Preventivo",V8="Manual"),"40%",IF(AND(U8="Detectivo",V8="Automático"),"40%",IF(AND(U8="Detectivo",V8="Manual"),"30%",IF(AND(U8="Correctivo",V8="Automático"),"35%",IF(AND(U8="Correctivo",V8="Manual"),"25%",""))))))</f>
        <v/>
      </c>
      <c r="X8" s="132"/>
      <c r="Y8" s="132"/>
      <c r="Z8" s="132"/>
      <c r="AA8" s="134" t="str">
        <f>IFERROR(IF(T8="Probabilidad",(AA7-(+AA7*W8)),IF(T8="Impacto",$L$7,"")),"")</f>
        <v/>
      </c>
      <c r="AB8" s="135" t="str">
        <f t="shared" ref="AB8:AB9" si="2">IFERROR(IF(AA8="","",IF(AA8&lt;=0.2,"Muy Baja",IF(AA8&lt;=0.4,"Baja",IF(AA8&lt;=0.6,"Media",IF(AA8&lt;=0.8,"Alta","Muy Alta"))))),"")</f>
        <v/>
      </c>
      <c r="AC8" s="136" t="str">
        <f t="shared" ref="AC8:AC9" si="3">+AA8</f>
        <v/>
      </c>
      <c r="AD8" s="135" t="str">
        <f t="shared" ref="AD8:AD9" si="4">IFERROR(IF(AE8="","",IF(AE8&lt;=0.2,"Leve",IF(AE8&lt;=0.4,"Menor",IF(AE8&lt;=0.6,"Moderado",IF(AE8&lt;=0.8,"Mayor","Catastrófico"))))),"")</f>
        <v/>
      </c>
      <c r="AE8" s="136" t="str">
        <f t="shared" ref="AE8:AE9" si="5">IFERROR(IF(T8="Impacto",($P$7-(+$P$7*W8)),IF(T8="Probabilidad",$P$7,"")),"")</f>
        <v/>
      </c>
      <c r="AF8" s="137"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8"/>
      <c r="AH8" s="98"/>
      <c r="AI8" s="140"/>
      <c r="AJ8" s="141"/>
      <c r="AK8" s="141"/>
      <c r="AL8" s="98"/>
      <c r="AM8" s="140"/>
    </row>
    <row r="9" spans="1:39" s="163" customFormat="1" ht="167.25" customHeight="1" x14ac:dyDescent="0.35">
      <c r="A9" s="369"/>
      <c r="B9" s="372"/>
      <c r="C9" s="374"/>
      <c r="D9" s="375"/>
      <c r="E9" s="346"/>
      <c r="F9" s="346"/>
      <c r="G9" s="346"/>
      <c r="H9" s="341"/>
      <c r="I9" s="346"/>
      <c r="J9" s="348"/>
      <c r="K9" s="351"/>
      <c r="L9" s="354"/>
      <c r="M9" s="356"/>
      <c r="N9" s="142"/>
      <c r="O9" s="351"/>
      <c r="P9" s="354"/>
      <c r="Q9" s="344"/>
      <c r="R9" s="130">
        <v>3</v>
      </c>
      <c r="S9" s="98"/>
      <c r="T9" s="131" t="str">
        <f t="shared" si="0"/>
        <v/>
      </c>
      <c r="U9" s="132"/>
      <c r="V9" s="132"/>
      <c r="W9" s="133"/>
      <c r="X9" s="132"/>
      <c r="Y9" s="132"/>
      <c r="Z9" s="132"/>
      <c r="AA9" s="134" t="str">
        <f>IFERROR(IF(T9="Probabilidad",(AA8-(+AA8*W9)),IF(T9="Impacto",$L$7,"")),"")</f>
        <v/>
      </c>
      <c r="AB9" s="135" t="str">
        <f t="shared" si="2"/>
        <v/>
      </c>
      <c r="AC9" s="136" t="str">
        <f t="shared" si="3"/>
        <v/>
      </c>
      <c r="AD9" s="135" t="str">
        <f t="shared" si="4"/>
        <v/>
      </c>
      <c r="AE9" s="136" t="str">
        <f t="shared" si="5"/>
        <v/>
      </c>
      <c r="AF9" s="137" t="str">
        <f t="shared" si="6"/>
        <v/>
      </c>
      <c r="AG9" s="138"/>
      <c r="AH9" s="98"/>
      <c r="AI9" s="140"/>
      <c r="AJ9" s="141"/>
      <c r="AK9" s="141"/>
      <c r="AL9" s="98"/>
      <c r="AM9" s="140"/>
    </row>
    <row r="10" spans="1:39" s="163" customFormat="1" ht="151.5" customHeight="1" x14ac:dyDescent="0.35">
      <c r="A10" s="369">
        <v>2</v>
      </c>
      <c r="B10" s="370" t="s">
        <v>327</v>
      </c>
      <c r="C10" s="373" t="s">
        <v>376</v>
      </c>
      <c r="D10" s="373" t="s">
        <v>191</v>
      </c>
      <c r="E10" s="345" t="s">
        <v>120</v>
      </c>
      <c r="F10" s="398" t="s">
        <v>435</v>
      </c>
      <c r="G10" s="394" t="s">
        <v>436</v>
      </c>
      <c r="H10" s="396" t="s">
        <v>377</v>
      </c>
      <c r="I10" s="345" t="s">
        <v>328</v>
      </c>
      <c r="J10" s="347">
        <v>160</v>
      </c>
      <c r="K10" s="349" t="str">
        <f>IF(J10&lt;=0,"",IF(J10&lt;=2,"Muy Baja",IF(J10&lt;=24,"Baja",IF(J10&lt;=500,"Media",IF(J10&lt;=5000,"Alta","Muy Alta")))))</f>
        <v>Media</v>
      </c>
      <c r="L10" s="352">
        <f>IF(K10="","",IF(K10="Muy Baja",0.2,IF(K10="Baja",0.4,IF(K10="Media",0.6,IF(K10="Alta",0.8,IF(K10="Muy Alta",1,))))))</f>
        <v>0.6</v>
      </c>
      <c r="M10" s="355" t="s">
        <v>485</v>
      </c>
      <c r="N10" s="12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49" t="str">
        <f>IF(OR(N10='Tabla Impacto'!$C$11,N10='Tabla Impacto'!$D$11),"Leve",IF(OR(N10='Tabla Impacto'!$C$12,N10='Tabla Impacto'!$D$12),"Menor",IF(OR(N10='Tabla Impacto'!$C$13,N10='Tabla Impacto'!$D$13),"Moderado",IF(OR(N10='Tabla Impacto'!$C$14,N10='Tabla Impacto'!$D$14),"Mayor",IF(OR(N10='Tabla Impacto'!$C$15,N10='Tabla Impacto'!$D$15),"Catastrófico","")))))</f>
        <v>Moderado</v>
      </c>
      <c r="P10" s="352">
        <f>IF(O10="","",IF(O10="Leve",0.2,IF(O10="Menor",0.4,IF(O10="Moderado",0.6,IF(O10="Mayor",0.8,IF(O10="Catastrófico",1,))))))</f>
        <v>0.6</v>
      </c>
      <c r="Q10" s="342"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30">
        <v>1</v>
      </c>
      <c r="S10" s="98" t="s">
        <v>197</v>
      </c>
      <c r="T10" s="131" t="str">
        <f t="shared" ref="T10:T13" si="7">IF(OR(U10="Preventivo",U10="Detectivo"),"Probabilidad",IF(U10="Correctivo","Impacto",""))</f>
        <v>Probabilidad</v>
      </c>
      <c r="U10" s="132" t="s">
        <v>14</v>
      </c>
      <c r="V10" s="132" t="s">
        <v>9</v>
      </c>
      <c r="W10" s="133" t="str">
        <f t="shared" ref="W10:W13" si="8">IF(AND(U10="Preventivo",V10="Automático"),"50%",IF(AND(U10="Preventivo",V10="Manual"),"40%",IF(AND(U10="Detectivo",V10="Automático"),"40%",IF(AND(U10="Detectivo",V10="Manual"),"30%",IF(AND(U10="Correctivo",V10="Automático"),"35%",IF(AND(U10="Correctivo",V10="Manual"),"25%",""))))))</f>
        <v>40%</v>
      </c>
      <c r="X10" s="132" t="s">
        <v>19</v>
      </c>
      <c r="Y10" s="132" t="s">
        <v>22</v>
      </c>
      <c r="Z10" s="132" t="s">
        <v>110</v>
      </c>
      <c r="AA10" s="134">
        <f t="shared" ref="AA10:AA13" si="9">IFERROR(IF(T10="Probabilidad",(L10-(+L10*W10)),IF(T10="Impacto",L10,"")),"")</f>
        <v>0.36</v>
      </c>
      <c r="AB10" s="135" t="str">
        <f t="shared" ref="AB10:AB13" si="10">IFERROR(IF(AA10="","",IF(AA10&lt;=0.2,"Muy Baja",IF(AA10&lt;=0.4,"Baja",IF(AA10&lt;=0.6,"Media",IF(AA10&lt;=0.8,"Alta","Muy Alta"))))),"")</f>
        <v>Baja</v>
      </c>
      <c r="AC10" s="136">
        <f t="shared" ref="AC10:AC13" si="11">+AA10</f>
        <v>0.36</v>
      </c>
      <c r="AD10" s="135" t="str">
        <f t="shared" ref="AD10:AD13" si="12">IFERROR(IF(AE10="","",IF(AE10&lt;=0.2,"Leve",IF(AE10&lt;=0.4,"Menor",IF(AE10&lt;=0.6,"Moderado",IF(AE10&lt;=0.8,"Mayor","Catastrófico"))))),"")</f>
        <v>Moderado</v>
      </c>
      <c r="AE10" s="136">
        <f t="shared" ref="AE10:AE13" si="13">IFERROR(IF(T10="Impacto",(P10-(+P10*W10)),IF(T10="Probabilidad",P10,"")),"")</f>
        <v>0.6</v>
      </c>
      <c r="AF10" s="137"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8" t="s">
        <v>122</v>
      </c>
      <c r="AH10" s="119" t="s">
        <v>378</v>
      </c>
      <c r="AI10" s="127" t="s">
        <v>198</v>
      </c>
      <c r="AJ10" s="143" t="s">
        <v>199</v>
      </c>
      <c r="AK10" s="143" t="s">
        <v>199</v>
      </c>
      <c r="AL10" s="119" t="s">
        <v>379</v>
      </c>
      <c r="AM10" s="140"/>
    </row>
    <row r="11" spans="1:39" s="163" customFormat="1" ht="151.5" customHeight="1" x14ac:dyDescent="0.35">
      <c r="A11" s="369"/>
      <c r="B11" s="371"/>
      <c r="C11" s="374"/>
      <c r="D11" s="375"/>
      <c r="E11" s="346"/>
      <c r="F11" s="346"/>
      <c r="G11" s="395"/>
      <c r="H11" s="397"/>
      <c r="I11" s="346"/>
      <c r="J11" s="348"/>
      <c r="K11" s="350"/>
      <c r="L11" s="353"/>
      <c r="M11" s="356"/>
      <c r="N11" s="142"/>
      <c r="O11" s="350"/>
      <c r="P11" s="353"/>
      <c r="Q11" s="343"/>
      <c r="R11" s="130">
        <v>2</v>
      </c>
      <c r="S11" s="98"/>
      <c r="T11" s="131" t="str">
        <f t="shared" ref="T11:T12" si="15">IF(OR(U11="Preventivo",U11="Detectivo"),"Probabilidad",IF(U11="Correctivo","Impacto",""))</f>
        <v/>
      </c>
      <c r="U11" s="132"/>
      <c r="V11" s="132"/>
      <c r="W11" s="133"/>
      <c r="X11" s="132"/>
      <c r="Y11" s="132"/>
      <c r="Z11" s="132"/>
      <c r="AA11" s="134" t="str">
        <f>IFERROR(IF(T11="Probabilidad",(AA10-(+AA10*W11)),IF(T11="Impacto",L10,"")),"")</f>
        <v/>
      </c>
      <c r="AB11" s="135" t="str">
        <f t="shared" ref="AB11:AB12" si="16">IFERROR(IF(AA11="","",IF(AA11&lt;=0.2,"Muy Baja",IF(AA11&lt;=0.4,"Baja",IF(AA11&lt;=0.6,"Media",IF(AA11&lt;=0.8,"Alta","Muy Alta"))))),"")</f>
        <v/>
      </c>
      <c r="AC11" s="136" t="str">
        <f t="shared" ref="AC11:AC12" si="17">+AA11</f>
        <v/>
      </c>
      <c r="AD11" s="135" t="str">
        <f t="shared" ref="AD11:AD12" si="18">IFERROR(IF(AE11="","",IF(AE11&lt;=0.2,"Leve",IF(AE11&lt;=0.4,"Menor",IF(AE11&lt;=0.6,"Moderado",IF(AE11&lt;=0.8,"Mayor","Catastrófico"))))),"")</f>
        <v/>
      </c>
      <c r="AE11" s="136" t="str">
        <f>IFERROR(IF(T11="Impacto",(P10-(+P10*W11)),IF(T11="Probabilidad",P10,"")),"")</f>
        <v/>
      </c>
      <c r="AF11" s="137"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8"/>
      <c r="AH11" s="119"/>
      <c r="AI11" s="127"/>
      <c r="AJ11" s="143"/>
      <c r="AK11" s="143"/>
      <c r="AL11" s="119"/>
      <c r="AM11" s="140"/>
    </row>
    <row r="12" spans="1:39" s="163" customFormat="1" ht="151.5" customHeight="1" x14ac:dyDescent="0.35">
      <c r="A12" s="369"/>
      <c r="B12" s="372"/>
      <c r="C12" s="374"/>
      <c r="D12" s="375"/>
      <c r="E12" s="346"/>
      <c r="F12" s="346"/>
      <c r="G12" s="395"/>
      <c r="H12" s="397"/>
      <c r="I12" s="346"/>
      <c r="J12" s="348"/>
      <c r="K12" s="351"/>
      <c r="L12" s="354"/>
      <c r="M12" s="356"/>
      <c r="N12" s="142"/>
      <c r="O12" s="351"/>
      <c r="P12" s="354"/>
      <c r="Q12" s="344"/>
      <c r="R12" s="130">
        <v>3</v>
      </c>
      <c r="S12" s="98"/>
      <c r="T12" s="131" t="str">
        <f t="shared" si="15"/>
        <v/>
      </c>
      <c r="U12" s="132"/>
      <c r="V12" s="132"/>
      <c r="W12" s="133"/>
      <c r="X12" s="132"/>
      <c r="Y12" s="132"/>
      <c r="Z12" s="132"/>
      <c r="AA12" s="134" t="str">
        <f>IFERROR(IF(T12="Probabilidad",(AA11-(+AA11*W12)),IF(T12="Impacto",L10,"")),"")</f>
        <v/>
      </c>
      <c r="AB12" s="135" t="str">
        <f t="shared" si="16"/>
        <v/>
      </c>
      <c r="AC12" s="136" t="str">
        <f t="shared" si="17"/>
        <v/>
      </c>
      <c r="AD12" s="135" t="str">
        <f t="shared" si="18"/>
        <v/>
      </c>
      <c r="AE12" s="136" t="str">
        <f>IFERROR(IF(T12="Impacto",(P10-(+P10*W12)),IF(T12="Probabilidad",P10,"")),"")</f>
        <v/>
      </c>
      <c r="AF12" s="137" t="str">
        <f t="shared" si="19"/>
        <v/>
      </c>
      <c r="AG12" s="138"/>
      <c r="AH12" s="119"/>
      <c r="AI12" s="127"/>
      <c r="AJ12" s="143"/>
      <c r="AK12" s="143"/>
      <c r="AL12" s="119"/>
      <c r="AM12" s="140"/>
    </row>
    <row r="13" spans="1:39" s="219" customFormat="1" ht="151.5" customHeight="1" x14ac:dyDescent="0.35">
      <c r="A13" s="369">
        <v>3</v>
      </c>
      <c r="B13" s="370" t="s">
        <v>200</v>
      </c>
      <c r="C13" s="373" t="s">
        <v>354</v>
      </c>
      <c r="D13" s="373" t="s">
        <v>374</v>
      </c>
      <c r="E13" s="345" t="s">
        <v>118</v>
      </c>
      <c r="F13" s="345" t="s">
        <v>437</v>
      </c>
      <c r="G13" s="345" t="s">
        <v>201</v>
      </c>
      <c r="H13" s="340" t="s">
        <v>380</v>
      </c>
      <c r="I13" s="345" t="s">
        <v>328</v>
      </c>
      <c r="J13" s="347">
        <v>5000</v>
      </c>
      <c r="K13" s="349" t="str">
        <f>IF(J13&lt;=0,"",IF(J13&lt;=2,"Muy Baja",IF(J13&lt;=24,"Baja",IF(J13&lt;=500,"Media",IF(J13&lt;=5000,"Alta","Muy Alta")))))</f>
        <v>Alta</v>
      </c>
      <c r="L13" s="352">
        <f>IF(K13="","",IF(K13="Muy Baja",0.2,IF(K13="Baja",0.4,IF(K13="Media",0.6,IF(K13="Alta",0.8,IF(K13="Muy Alta",1,))))))</f>
        <v>0.8</v>
      </c>
      <c r="M13" s="355" t="s">
        <v>485</v>
      </c>
      <c r="N13" s="12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49" t="str">
        <f>IF(OR(N13='Tabla Impacto'!$C$11,N13='Tabla Impacto'!$D$11),"Leve",IF(OR(N13='Tabla Impacto'!$C$12,N13='Tabla Impacto'!$D$12),"Menor",IF(OR(N13='Tabla Impacto'!$C$13,N13='Tabla Impacto'!$D$13),"Moderado",IF(OR(N13='Tabla Impacto'!$C$14,N13='Tabla Impacto'!$D$14),"Mayor",IF(OR(N13='Tabla Impacto'!$C$15,N13='Tabla Impacto'!$D$15),"Catastrófico","")))))</f>
        <v>Moderado</v>
      </c>
      <c r="P13" s="352">
        <f>IF(O13="","",IF(O13="Leve",0.2,IF(O13="Menor",0.4,IF(O13="Moderado",0.6,IF(O13="Mayor",0.8,IF(O13="Catastrófico",1,))))))</f>
        <v>0.6</v>
      </c>
      <c r="Q13" s="342"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0">
        <v>1</v>
      </c>
      <c r="S13" s="98" t="s">
        <v>202</v>
      </c>
      <c r="T13" s="131" t="str">
        <f t="shared" si="7"/>
        <v>Probabilidad</v>
      </c>
      <c r="U13" s="132" t="s">
        <v>14</v>
      </c>
      <c r="V13" s="132" t="s">
        <v>9</v>
      </c>
      <c r="W13" s="133" t="str">
        <f t="shared" si="8"/>
        <v>40%</v>
      </c>
      <c r="X13" s="132" t="s">
        <v>19</v>
      </c>
      <c r="Y13" s="132" t="s">
        <v>22</v>
      </c>
      <c r="Z13" s="132" t="s">
        <v>110</v>
      </c>
      <c r="AA13" s="134">
        <f t="shared" si="9"/>
        <v>0.48</v>
      </c>
      <c r="AB13" s="135" t="str">
        <f t="shared" si="10"/>
        <v>Media</v>
      </c>
      <c r="AC13" s="136">
        <f t="shared" si="11"/>
        <v>0.48</v>
      </c>
      <c r="AD13" s="135" t="str">
        <f t="shared" si="12"/>
        <v>Moderado</v>
      </c>
      <c r="AE13" s="136">
        <f t="shared" si="13"/>
        <v>0.6</v>
      </c>
      <c r="AF13" s="137" t="str">
        <f t="shared" si="14"/>
        <v>Moderado</v>
      </c>
      <c r="AG13" s="138" t="s">
        <v>122</v>
      </c>
      <c r="AH13" s="126" t="s">
        <v>381</v>
      </c>
      <c r="AI13" s="144" t="s">
        <v>203</v>
      </c>
      <c r="AJ13" s="143" t="s">
        <v>199</v>
      </c>
      <c r="AK13" s="143" t="s">
        <v>199</v>
      </c>
      <c r="AL13" s="119" t="s">
        <v>382</v>
      </c>
      <c r="AM13" s="140"/>
    </row>
    <row r="14" spans="1:39" s="219" customFormat="1" ht="151.5" customHeight="1" x14ac:dyDescent="0.35">
      <c r="A14" s="369"/>
      <c r="B14" s="371"/>
      <c r="C14" s="374"/>
      <c r="D14" s="374"/>
      <c r="E14" s="346"/>
      <c r="F14" s="346"/>
      <c r="G14" s="346"/>
      <c r="H14" s="341"/>
      <c r="I14" s="346"/>
      <c r="J14" s="348"/>
      <c r="K14" s="350"/>
      <c r="L14" s="353"/>
      <c r="M14" s="356"/>
      <c r="N14" s="142"/>
      <c r="O14" s="350"/>
      <c r="P14" s="353"/>
      <c r="Q14" s="343"/>
      <c r="R14" s="130">
        <v>2</v>
      </c>
      <c r="S14" s="145"/>
      <c r="T14" s="131" t="str">
        <f t="shared" ref="T14:T15" si="20">IF(OR(U14="Preventivo",U14="Detectivo"),"Probabilidad",IF(U14="Correctivo","Impacto",""))</f>
        <v/>
      </c>
      <c r="U14" s="132"/>
      <c r="V14" s="132"/>
      <c r="W14" s="133"/>
      <c r="X14" s="132"/>
      <c r="Y14" s="132"/>
      <c r="Z14" s="132"/>
      <c r="AA14" s="134" t="str">
        <f>IFERROR(IF(T14="Probabilidad",(AA13-(+AA13*W14)),IF(T14="Impacto",L13,"")),"")</f>
        <v/>
      </c>
      <c r="AB14" s="135" t="str">
        <f t="shared" ref="AB14:AB15" si="21">IFERROR(IF(AA14="","",IF(AA14&lt;=0.2,"Muy Baja",IF(AA14&lt;=0.4,"Baja",IF(AA14&lt;=0.6,"Media",IF(AA14&lt;=0.8,"Alta","Muy Alta"))))),"")</f>
        <v/>
      </c>
      <c r="AC14" s="136" t="str">
        <f t="shared" ref="AC14:AC15" si="22">+AA14</f>
        <v/>
      </c>
      <c r="AD14" s="135" t="str">
        <f t="shared" ref="AD14:AD15" si="23">IFERROR(IF(AE14="","",IF(AE14&lt;=0.2,"Leve",IF(AE14&lt;=0.4,"Menor",IF(AE14&lt;=0.6,"Moderado",IF(AE14&lt;=0.8,"Mayor","Catastrófico"))))),"")</f>
        <v/>
      </c>
      <c r="AE14" s="136" t="str">
        <f>IFERROR(IF(T14="Impacto",(P13-(+P13*W14)),IF(T14="Probabilidad",P13,"")),"")</f>
        <v/>
      </c>
      <c r="AF14" s="137"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8"/>
      <c r="AH14" s="119"/>
      <c r="AI14" s="127"/>
      <c r="AJ14" s="143"/>
      <c r="AK14" s="143"/>
      <c r="AL14" s="119"/>
      <c r="AM14" s="140"/>
    </row>
    <row r="15" spans="1:39" s="219" customFormat="1" ht="151.5" customHeight="1" x14ac:dyDescent="0.35">
      <c r="A15" s="369"/>
      <c r="B15" s="372"/>
      <c r="C15" s="374"/>
      <c r="D15" s="374"/>
      <c r="E15" s="346"/>
      <c r="F15" s="391"/>
      <c r="G15" s="391"/>
      <c r="H15" s="392"/>
      <c r="I15" s="346"/>
      <c r="J15" s="348"/>
      <c r="K15" s="351"/>
      <c r="L15" s="354"/>
      <c r="M15" s="356"/>
      <c r="N15" s="142"/>
      <c r="O15" s="351"/>
      <c r="P15" s="354"/>
      <c r="Q15" s="344"/>
      <c r="R15" s="130">
        <v>3</v>
      </c>
      <c r="S15" s="145"/>
      <c r="T15" s="131" t="str">
        <f t="shared" si="20"/>
        <v/>
      </c>
      <c r="U15" s="132"/>
      <c r="V15" s="132"/>
      <c r="W15" s="133"/>
      <c r="X15" s="132"/>
      <c r="Y15" s="132"/>
      <c r="Z15" s="132"/>
      <c r="AA15" s="134" t="str">
        <f>IFERROR(IF(T15="Probabilidad",(AA14-(+AA14*W15)),IF(T15="Impacto",L13,"")),"")</f>
        <v/>
      </c>
      <c r="AB15" s="135" t="str">
        <f t="shared" si="21"/>
        <v/>
      </c>
      <c r="AC15" s="136" t="str">
        <f t="shared" si="22"/>
        <v/>
      </c>
      <c r="AD15" s="135" t="str">
        <f t="shared" si="23"/>
        <v/>
      </c>
      <c r="AE15" s="136" t="str">
        <f>IFERROR(IF(T15="Impacto",(P13-(+P13*W15)),IF(T15="Probabilidad",P13,"")),"")</f>
        <v/>
      </c>
      <c r="AF15" s="137" t="str">
        <f t="shared" si="24"/>
        <v/>
      </c>
      <c r="AG15" s="138"/>
      <c r="AH15" s="119"/>
      <c r="AI15" s="127"/>
      <c r="AJ15" s="143"/>
      <c r="AK15" s="143"/>
      <c r="AL15" s="119"/>
      <c r="AM15" s="140"/>
    </row>
    <row r="16" spans="1:39" s="231" customFormat="1" ht="151.5" customHeight="1" x14ac:dyDescent="0.35">
      <c r="A16" s="369">
        <v>5</v>
      </c>
      <c r="B16" s="370" t="s">
        <v>206</v>
      </c>
      <c r="C16" s="373" t="s">
        <v>207</v>
      </c>
      <c r="D16" s="373" t="s">
        <v>375</v>
      </c>
      <c r="E16" s="345" t="s">
        <v>118</v>
      </c>
      <c r="F16" s="345" t="s">
        <v>208</v>
      </c>
      <c r="G16" s="345" t="s">
        <v>209</v>
      </c>
      <c r="H16" s="340" t="s">
        <v>545</v>
      </c>
      <c r="I16" s="345" t="s">
        <v>115</v>
      </c>
      <c r="J16" s="347">
        <v>1</v>
      </c>
      <c r="K16" s="349" t="str">
        <f>IF(J16&lt;=0,"",IF(J16&lt;=2,"Muy Baja",IF(J16&lt;=24,"Baja",IF(J16&lt;=500,"Media",IF(J16&lt;=5000,"Alta","Muy Alta")))))</f>
        <v>Muy Baja</v>
      </c>
      <c r="L16" s="352">
        <f>IF(K16="","",IF(K16="Muy Baja",0.2,IF(K16="Baja",0.4,IF(K16="Media",0.6,IF(K16="Alta",0.8,IF(K16="Muy Alta",1,))))))</f>
        <v>0.2</v>
      </c>
      <c r="M16" s="355" t="s">
        <v>485</v>
      </c>
      <c r="N16" s="215"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49" t="str">
        <f>IF(OR(N16='Tabla Impacto'!$C$11,N16='Tabla Impacto'!$D$11),"Leve",IF(OR(N16='Tabla Impacto'!$C$12,N16='Tabla Impacto'!$D$12),"Menor",IF(OR(N16='Tabla Impacto'!$C$13,N16='Tabla Impacto'!$D$13),"Moderado",IF(OR(N16='Tabla Impacto'!$C$14,N16='Tabla Impacto'!$D$14),"Mayor",IF(OR(N16='Tabla Impacto'!$C$15,N16='Tabla Impacto'!$D$15),"Catastrófico","")))))</f>
        <v>Moderado</v>
      </c>
      <c r="P16" s="352">
        <f>IF(O16="","",IF(O16="Leve",0.2,IF(O16="Menor",0.4,IF(O16="Moderado",0.6,IF(O16="Mayor",0.8,IF(O16="Catastrófico",1,))))))</f>
        <v>0.6</v>
      </c>
      <c r="Q16" s="342"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207">
        <v>1</v>
      </c>
      <c r="S16" s="139" t="s">
        <v>210</v>
      </c>
      <c r="T16" s="208" t="str">
        <f t="shared" ref="T16:T103" si="25">IF(OR(U16="Preventivo",U16="Detectivo"),"Probabilidad",IF(U16="Correctivo","Impacto",""))</f>
        <v>Probabilidad</v>
      </c>
      <c r="U16" s="209" t="s">
        <v>14</v>
      </c>
      <c r="V16" s="209" t="s">
        <v>9</v>
      </c>
      <c r="W16" s="210" t="str">
        <f t="shared" ref="W16:W103" si="26">IF(AND(U16="Preventivo",V16="Automático"),"50%",IF(AND(U16="Preventivo",V16="Manual"),"40%",IF(AND(U16="Detectivo",V16="Automático"),"40%",IF(AND(U16="Detectivo",V16="Manual"),"30%",IF(AND(U16="Correctivo",V16="Automático"),"35%",IF(AND(U16="Correctivo",V16="Manual"),"25%",""))))))</f>
        <v>40%</v>
      </c>
      <c r="X16" s="209" t="s">
        <v>19</v>
      </c>
      <c r="Y16" s="209" t="s">
        <v>22</v>
      </c>
      <c r="Z16" s="209" t="s">
        <v>110</v>
      </c>
      <c r="AA16" s="160">
        <f t="shared" ref="AA16:AA103" si="27">IFERROR(IF(T16="Probabilidad",(L16-(+L16*W16)),IF(T16="Impacto",L16,"")),"")</f>
        <v>0.12</v>
      </c>
      <c r="AB16" s="211" t="str">
        <f t="shared" ref="AB16:AB103" si="28">IFERROR(IF(AA16="","",IF(AA16&lt;=0.2,"Muy Baja",IF(AA16&lt;=0.4,"Baja",IF(AA16&lt;=0.6,"Media",IF(AA16&lt;=0.8,"Alta","Muy Alta"))))),"")</f>
        <v>Muy Baja</v>
      </c>
      <c r="AC16" s="212">
        <f t="shared" ref="AC16:AC103" si="29">+AA16</f>
        <v>0.12</v>
      </c>
      <c r="AD16" s="211" t="str">
        <f t="shared" ref="AD16:AD103" si="30">IFERROR(IF(AE16="","",IF(AE16&lt;=0.2,"Leve",IF(AE16&lt;=0.4,"Menor",IF(AE16&lt;=0.6,"Moderado",IF(AE16&lt;=0.8,"Mayor","Catastrófico"))))),"")</f>
        <v>Moderado</v>
      </c>
      <c r="AE16" s="212">
        <f t="shared" ref="AE16:AE103" si="31">IFERROR(IF(T16="Impacto",(P16-(+P16*W16)),IF(T16="Probabilidad",P16,"")),"")</f>
        <v>0.6</v>
      </c>
      <c r="AF16" s="213" t="str">
        <f t="shared" ref="AF16:AF103"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214" t="s">
        <v>122</v>
      </c>
      <c r="AH16" s="126" t="s">
        <v>211</v>
      </c>
      <c r="AI16" s="121" t="s">
        <v>212</v>
      </c>
      <c r="AJ16" s="128">
        <v>44562</v>
      </c>
      <c r="AK16" s="128" t="s">
        <v>373</v>
      </c>
      <c r="AL16" s="126" t="s">
        <v>213</v>
      </c>
      <c r="AM16" s="230"/>
    </row>
    <row r="17" spans="1:39" s="231" customFormat="1" ht="151.5" customHeight="1" x14ac:dyDescent="0.35">
      <c r="A17" s="369"/>
      <c r="B17" s="371"/>
      <c r="C17" s="375"/>
      <c r="D17" s="374"/>
      <c r="E17" s="346"/>
      <c r="F17" s="346"/>
      <c r="G17" s="346"/>
      <c r="H17" s="341"/>
      <c r="I17" s="346"/>
      <c r="J17" s="348"/>
      <c r="K17" s="350"/>
      <c r="L17" s="353"/>
      <c r="M17" s="356"/>
      <c r="N17" s="216"/>
      <c r="O17" s="350"/>
      <c r="P17" s="353"/>
      <c r="Q17" s="343"/>
      <c r="R17" s="207">
        <v>2</v>
      </c>
      <c r="S17" s="139"/>
      <c r="T17" s="208" t="str">
        <f t="shared" ref="T17:T18" si="33">IF(OR(U17="Preventivo",U17="Detectivo"),"Probabilidad",IF(U17="Correctivo","Impacto",""))</f>
        <v/>
      </c>
      <c r="U17" s="232"/>
      <c r="V17" s="232"/>
      <c r="W17" s="233"/>
      <c r="X17" s="232"/>
      <c r="Y17" s="232"/>
      <c r="Z17" s="232"/>
      <c r="AA17" s="161" t="str">
        <f>IFERROR(IF(T17="Probabilidad",(AA16-(+AA16*W17)),IF(T17="Impacto",L17,"")),"")</f>
        <v/>
      </c>
      <c r="AB17" s="211" t="str">
        <f t="shared" ref="AB17:AB18" si="34">IFERROR(IF(AA17="","",IF(AA17&lt;=0.2,"Muy Baja",IF(AA17&lt;=0.4,"Baja",IF(AA17&lt;=0.6,"Media",IF(AA17&lt;=0.8,"Alta","Muy Alta"))))),"")</f>
        <v/>
      </c>
      <c r="AC17" s="234" t="str">
        <f t="shared" ref="AC17:AC18" si="35">+AA17</f>
        <v/>
      </c>
      <c r="AD17" s="211" t="str">
        <f t="shared" ref="AD17:AD18" si="36">IFERROR(IF(AE17="","",IF(AE17&lt;=0.2,"Leve",IF(AE17&lt;=0.4,"Menor",IF(AE17&lt;=0.6,"Moderado",IF(AE17&lt;=0.8,"Mayor","Catastrófico"))))),"")</f>
        <v/>
      </c>
      <c r="AE17" s="234" t="str">
        <f t="shared" ref="AE17:AE18" si="37">IFERROR(IF(T17="Impacto",(P17-(+P17*W17)),IF(T17="Probabilidad",P17,"")),"")</f>
        <v/>
      </c>
      <c r="AF17" s="235"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36"/>
      <c r="AH17" s="126"/>
      <c r="AI17" s="121"/>
      <c r="AJ17" s="128"/>
      <c r="AK17" s="128"/>
      <c r="AL17" s="126"/>
      <c r="AM17" s="230"/>
    </row>
    <row r="18" spans="1:39" s="163" customFormat="1" ht="151.5" customHeight="1" x14ac:dyDescent="0.35">
      <c r="A18" s="393"/>
      <c r="B18" s="372"/>
      <c r="C18" s="375"/>
      <c r="D18" s="374"/>
      <c r="E18" s="346"/>
      <c r="F18" s="346"/>
      <c r="G18" s="346"/>
      <c r="H18" s="341"/>
      <c r="I18" s="346"/>
      <c r="J18" s="348"/>
      <c r="K18" s="351"/>
      <c r="L18" s="354"/>
      <c r="M18" s="356"/>
      <c r="N18" s="142"/>
      <c r="O18" s="351"/>
      <c r="P18" s="354"/>
      <c r="Q18" s="344"/>
      <c r="R18" s="130">
        <v>3</v>
      </c>
      <c r="S18" s="98"/>
      <c r="T18" s="131" t="str">
        <f t="shared" si="33"/>
        <v/>
      </c>
      <c r="U18" s="146"/>
      <c r="V18" s="146"/>
      <c r="W18" s="147"/>
      <c r="X18" s="146"/>
      <c r="Y18" s="146"/>
      <c r="Z18" s="146"/>
      <c r="AA18" s="148" t="str">
        <f>IFERROR(IF(T18="Probabilidad",(AA17-(+AA17*W18)),IF(T18="Impacto",L18,"")),"")</f>
        <v/>
      </c>
      <c r="AB18" s="135" t="str">
        <f t="shared" si="34"/>
        <v/>
      </c>
      <c r="AC18" s="149" t="str">
        <f t="shared" si="35"/>
        <v/>
      </c>
      <c r="AD18" s="135" t="str">
        <f t="shared" si="36"/>
        <v/>
      </c>
      <c r="AE18" s="149" t="str">
        <f t="shared" si="37"/>
        <v/>
      </c>
      <c r="AF18" s="150" t="str">
        <f t="shared" si="38"/>
        <v/>
      </c>
      <c r="AG18" s="151"/>
      <c r="AH18" s="119"/>
      <c r="AI18" s="127"/>
      <c r="AJ18" s="143"/>
      <c r="AK18" s="143"/>
      <c r="AL18" s="119"/>
      <c r="AM18" s="140"/>
    </row>
    <row r="19" spans="1:39" s="163" customFormat="1" ht="172" customHeight="1" x14ac:dyDescent="0.35">
      <c r="A19" s="368">
        <v>6</v>
      </c>
      <c r="B19" s="370" t="s">
        <v>206</v>
      </c>
      <c r="C19" s="373" t="s">
        <v>207</v>
      </c>
      <c r="D19" s="373" t="s">
        <v>375</v>
      </c>
      <c r="E19" s="345" t="s">
        <v>119</v>
      </c>
      <c r="F19" s="398" t="s">
        <v>214</v>
      </c>
      <c r="G19" s="345" t="s">
        <v>215</v>
      </c>
      <c r="H19" s="340" t="s">
        <v>339</v>
      </c>
      <c r="I19" s="345" t="s">
        <v>328</v>
      </c>
      <c r="J19" s="347">
        <v>1</v>
      </c>
      <c r="K19" s="349" t="str">
        <f>IF(J19&lt;=0,"",IF(J19&lt;=2,"Muy Baja",IF(J19&lt;=24,"Baja",IF(J19&lt;=500,"Media",IF(J19&lt;=5000,"Alta","Muy Alta")))))</f>
        <v>Muy Baja</v>
      </c>
      <c r="L19" s="352">
        <f>IF(K19="","",IF(K19="Muy Baja",0.2,IF(K19="Baja",0.4,IF(K19="Media",0.6,IF(K19="Alta",0.8,IF(K19="Muy Alta",1,))))))</f>
        <v>0.2</v>
      </c>
      <c r="M19" s="355" t="s">
        <v>484</v>
      </c>
      <c r="N19" s="129" t="str">
        <f>IF(NOT(ISERROR(MATCH(M19,'Tabla Impacto'!$B$221:$B$223,0))),'Tabla Impacto'!$F$223&amp;"Por favor no seleccionar los criterios de impacto(Afectación Económica o presupuestal y Pérdida Reputacional)",M19)</f>
        <v xml:space="preserve"> Entre 50 y 100 SMLMV </v>
      </c>
      <c r="O19" s="349" t="str">
        <f>IF(OR(N19='Tabla Impacto'!$C$11,N19='Tabla Impacto'!$D$11),"Leve",IF(OR(N19='Tabla Impacto'!$C$12,N19='Tabla Impacto'!$D$12),"Menor",IF(OR(N19='Tabla Impacto'!$C$13,N19='Tabla Impacto'!$D$13),"Moderado",IF(OR(N19='Tabla Impacto'!$C$14,N19='Tabla Impacto'!$D$14),"Mayor",IF(OR(N19='Tabla Impacto'!$C$15,N19='Tabla Impacto'!$D$15),"Catastrófico","")))))</f>
        <v>Moderado</v>
      </c>
      <c r="P19" s="352">
        <f>IF(O19="","",IF(O19="Leve",0.2,IF(O19="Menor",0.4,IF(O19="Moderado",0.6,IF(O19="Mayor",0.8,IF(O19="Catastrófico",1,))))))</f>
        <v>0.6</v>
      </c>
      <c r="Q19" s="342"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30">
        <v>1</v>
      </c>
      <c r="S19" s="98" t="s">
        <v>216</v>
      </c>
      <c r="T19" s="131" t="str">
        <f t="shared" si="25"/>
        <v>Probabilidad</v>
      </c>
      <c r="U19" s="132" t="s">
        <v>15</v>
      </c>
      <c r="V19" s="132" t="s">
        <v>9</v>
      </c>
      <c r="W19" s="133" t="str">
        <f t="shared" si="26"/>
        <v>30%</v>
      </c>
      <c r="X19" s="132" t="s">
        <v>20</v>
      </c>
      <c r="Y19" s="132" t="s">
        <v>23</v>
      </c>
      <c r="Z19" s="132" t="s">
        <v>111</v>
      </c>
      <c r="AA19" s="134">
        <f t="shared" si="27"/>
        <v>0.14000000000000001</v>
      </c>
      <c r="AB19" s="135" t="str">
        <f t="shared" si="28"/>
        <v>Muy Baja</v>
      </c>
      <c r="AC19" s="136">
        <f t="shared" si="29"/>
        <v>0.14000000000000001</v>
      </c>
      <c r="AD19" s="135" t="str">
        <f t="shared" si="30"/>
        <v>Moderado</v>
      </c>
      <c r="AE19" s="136">
        <f t="shared" si="31"/>
        <v>0.6</v>
      </c>
      <c r="AF19" s="137" t="str">
        <f t="shared" si="32"/>
        <v>Moderado</v>
      </c>
      <c r="AG19" s="138" t="s">
        <v>122</v>
      </c>
      <c r="AH19" s="119" t="s">
        <v>217</v>
      </c>
      <c r="AI19" s="127" t="s">
        <v>203</v>
      </c>
      <c r="AJ19" s="128">
        <v>44562</v>
      </c>
      <c r="AK19" s="128" t="s">
        <v>373</v>
      </c>
      <c r="AL19" s="126" t="s">
        <v>329</v>
      </c>
      <c r="AM19" s="140"/>
    </row>
    <row r="20" spans="1:39" s="163" customFormat="1" ht="151.5" customHeight="1" x14ac:dyDescent="0.35">
      <c r="A20" s="369"/>
      <c r="B20" s="371"/>
      <c r="C20" s="375"/>
      <c r="D20" s="374"/>
      <c r="E20" s="346"/>
      <c r="F20" s="346"/>
      <c r="G20" s="346"/>
      <c r="H20" s="341"/>
      <c r="I20" s="346"/>
      <c r="J20" s="348"/>
      <c r="K20" s="350"/>
      <c r="L20" s="353"/>
      <c r="M20" s="356"/>
      <c r="N20" s="142"/>
      <c r="O20" s="350"/>
      <c r="P20" s="353"/>
      <c r="Q20" s="343"/>
      <c r="R20" s="130">
        <v>2</v>
      </c>
      <c r="S20" s="98"/>
      <c r="T20" s="131" t="str">
        <f t="shared" ref="T20:T42" si="39">IF(OR(U20="Preventivo",U20="Detectivo"),"Probabilidad",IF(U20="Correctivo","Impacto",""))</f>
        <v/>
      </c>
      <c r="U20" s="132"/>
      <c r="V20" s="132"/>
      <c r="W20" s="133" t="str">
        <f t="shared" ref="W20:W41" si="40">IF(AND(U20="Preventivo",V20="Automático"),"50%",IF(AND(U20="Preventivo",V20="Manual"),"40%",IF(AND(U20="Detectivo",V20="Automático"),"40%",IF(AND(U20="Detectivo",V20="Manual"),"30%",IF(AND(U20="Correctivo",V20="Automático"),"35%",IF(AND(U20="Correctivo",V20="Manual"),"25%",""))))))</f>
        <v/>
      </c>
      <c r="X20" s="132"/>
      <c r="Y20" s="132"/>
      <c r="Z20" s="132"/>
      <c r="AA20" s="134" t="str">
        <f>IFERROR(IF(T20="Probabilidad",(AA19-(+AA19*W20)),IF(T20="Impacto",L20,"")),"")</f>
        <v/>
      </c>
      <c r="AB20" s="135" t="str">
        <f t="shared" ref="AB20:AB42" si="41">IFERROR(IF(AA20="","",IF(AA20&lt;=0.2,"Muy Baja",IF(AA20&lt;=0.4,"Baja",IF(AA20&lt;=0.6,"Media",IF(AA20&lt;=0.8,"Alta","Muy Alta"))))),"")</f>
        <v/>
      </c>
      <c r="AC20" s="136" t="str">
        <f t="shared" ref="AC20:AC42" si="42">+AA20</f>
        <v/>
      </c>
      <c r="AD20" s="135" t="str">
        <f t="shared" ref="AD20:AD42" si="43">IFERROR(IF(AE20="","",IF(AE20&lt;=0.2,"Leve",IF(AE20&lt;=0.4,"Menor",IF(AE20&lt;=0.6,"Moderado",IF(AE20&lt;=0.8,"Mayor","Catastrófico"))))),"")</f>
        <v/>
      </c>
      <c r="AE20" s="136" t="str">
        <f t="shared" ref="AE20:AE42" si="44">IFERROR(IF(T20="Impacto",(P20-(+P20*W20)),IF(T20="Probabilidad",P20,"")),"")</f>
        <v/>
      </c>
      <c r="AF20" s="137"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38"/>
      <c r="AH20" s="119"/>
      <c r="AI20" s="127"/>
      <c r="AJ20" s="143"/>
      <c r="AK20" s="143"/>
      <c r="AL20" s="119"/>
      <c r="AM20" s="140"/>
    </row>
    <row r="21" spans="1:39" s="163" customFormat="1" ht="151.5" customHeight="1" x14ac:dyDescent="0.35">
      <c r="A21" s="369"/>
      <c r="B21" s="372"/>
      <c r="C21" s="375"/>
      <c r="D21" s="374"/>
      <c r="E21" s="346"/>
      <c r="F21" s="346"/>
      <c r="G21" s="346"/>
      <c r="H21" s="341"/>
      <c r="I21" s="346"/>
      <c r="J21" s="348"/>
      <c r="K21" s="351"/>
      <c r="L21" s="354"/>
      <c r="M21" s="356"/>
      <c r="N21" s="142"/>
      <c r="O21" s="351"/>
      <c r="P21" s="354"/>
      <c r="Q21" s="344"/>
      <c r="R21" s="130">
        <v>3</v>
      </c>
      <c r="S21" s="98"/>
      <c r="T21" s="131" t="str">
        <f t="shared" si="39"/>
        <v/>
      </c>
      <c r="U21" s="132"/>
      <c r="V21" s="132"/>
      <c r="W21" s="133" t="str">
        <f t="shared" si="40"/>
        <v/>
      </c>
      <c r="X21" s="132"/>
      <c r="Y21" s="132"/>
      <c r="Z21" s="132"/>
      <c r="AA21" s="134" t="str">
        <f>IFERROR(IF(T21="Probabilidad",(AA20-(+AA20*W21)),IF(T21="Impacto",L21,"")),"")</f>
        <v/>
      </c>
      <c r="AB21" s="135" t="str">
        <f t="shared" si="41"/>
        <v/>
      </c>
      <c r="AC21" s="136" t="str">
        <f t="shared" si="42"/>
        <v/>
      </c>
      <c r="AD21" s="135" t="str">
        <f t="shared" si="43"/>
        <v/>
      </c>
      <c r="AE21" s="136" t="str">
        <f t="shared" si="44"/>
        <v/>
      </c>
      <c r="AF21" s="137" t="str">
        <f t="shared" si="45"/>
        <v/>
      </c>
      <c r="AG21" s="138"/>
      <c r="AH21" s="119"/>
      <c r="AI21" s="127"/>
      <c r="AJ21" s="143"/>
      <c r="AK21" s="143"/>
      <c r="AL21" s="119"/>
      <c r="AM21" s="140"/>
    </row>
    <row r="22" spans="1:39" s="163" customFormat="1" ht="226.5" customHeight="1" x14ac:dyDescent="0.35">
      <c r="A22" s="369">
        <v>7</v>
      </c>
      <c r="B22" s="370" t="s">
        <v>218</v>
      </c>
      <c r="C22" s="373" t="s">
        <v>219</v>
      </c>
      <c r="D22" s="373" t="s">
        <v>220</v>
      </c>
      <c r="E22" s="345" t="s">
        <v>120</v>
      </c>
      <c r="F22" s="398" t="s">
        <v>221</v>
      </c>
      <c r="G22" s="345" t="s">
        <v>222</v>
      </c>
      <c r="H22" s="340" t="s">
        <v>576</v>
      </c>
      <c r="I22" s="345" t="s">
        <v>115</v>
      </c>
      <c r="J22" s="347">
        <v>1460</v>
      </c>
      <c r="K22" s="349" t="str">
        <f>IF(J22&lt;=0,"",IF(J22&lt;=2,"Muy Baja",IF(J22&lt;=24,"Baja",IF(J22&lt;=500,"Media",IF(J22&lt;=5000,"Alta","Muy Alta")))))</f>
        <v>Alta</v>
      </c>
      <c r="L22" s="352">
        <f>IF(K22="","",IF(K22="Muy Baja",0.2,IF(K22="Baja",0.4,IF(K22="Media",0.6,IF(K22="Alta",0.8,IF(K22="Muy Alta",1,))))))</f>
        <v>0.8</v>
      </c>
      <c r="M22" s="355" t="s">
        <v>485</v>
      </c>
      <c r="N22" s="129"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49" t="str">
        <f>IF(OR(N22='Tabla Impacto'!$C$11,N22='Tabla Impacto'!$D$11),"Leve",IF(OR(N22='Tabla Impacto'!$C$12,N22='Tabla Impacto'!$D$12),"Menor",IF(OR(N22='Tabla Impacto'!$C$13,N22='Tabla Impacto'!$D$13),"Moderado",IF(OR(N22='Tabla Impacto'!$C$14,N22='Tabla Impacto'!$D$14),"Mayor",IF(OR(N22='Tabla Impacto'!$C$15,N22='Tabla Impacto'!$D$15),"Catastrófico","")))))</f>
        <v>Moderado</v>
      </c>
      <c r="P22" s="352">
        <f>IF(O22="","",IF(O22="Leve",0.2,IF(O22="Menor",0.4,IF(O22="Moderado",0.6,IF(O22="Mayor",0.8,IF(O22="Catastrófico",1,))))))</f>
        <v>0.6</v>
      </c>
      <c r="Q22" s="342"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30">
        <v>1</v>
      </c>
      <c r="S22" s="119" t="s">
        <v>577</v>
      </c>
      <c r="T22" s="158" t="str">
        <f t="shared" si="39"/>
        <v>Probabilidad</v>
      </c>
      <c r="U22" s="146" t="s">
        <v>14</v>
      </c>
      <c r="V22" s="132" t="s">
        <v>9</v>
      </c>
      <c r="W22" s="133" t="str">
        <f t="shared" si="40"/>
        <v>40%</v>
      </c>
      <c r="X22" s="132" t="s">
        <v>19</v>
      </c>
      <c r="Y22" s="132" t="s">
        <v>22</v>
      </c>
      <c r="Z22" s="132" t="s">
        <v>110</v>
      </c>
      <c r="AA22" s="134">
        <f t="shared" ref="AA22:AA40" si="46">IFERROR(IF(T22="Probabilidad",(L22-(+L22*W22)),IF(T22="Impacto",L22,"")),"")</f>
        <v>0.48</v>
      </c>
      <c r="AB22" s="135" t="str">
        <f t="shared" si="41"/>
        <v>Media</v>
      </c>
      <c r="AC22" s="136">
        <f t="shared" si="42"/>
        <v>0.48</v>
      </c>
      <c r="AD22" s="135" t="str">
        <f t="shared" si="43"/>
        <v>Moderado</v>
      </c>
      <c r="AE22" s="136">
        <f t="shared" si="44"/>
        <v>0.6</v>
      </c>
      <c r="AF22" s="137" t="str">
        <f t="shared" si="45"/>
        <v>Moderado</v>
      </c>
      <c r="AG22" s="138" t="s">
        <v>122</v>
      </c>
      <c r="AH22" s="152" t="s">
        <v>223</v>
      </c>
      <c r="AI22" s="153" t="s">
        <v>212</v>
      </c>
      <c r="AJ22" s="128">
        <v>44562</v>
      </c>
      <c r="AK22" s="128" t="s">
        <v>373</v>
      </c>
      <c r="AL22" s="152" t="s">
        <v>578</v>
      </c>
      <c r="AM22" s="140"/>
    </row>
    <row r="23" spans="1:39" s="163" customFormat="1" ht="151.5" customHeight="1" x14ac:dyDescent="0.35">
      <c r="A23" s="369"/>
      <c r="B23" s="371"/>
      <c r="C23" s="375"/>
      <c r="D23" s="374"/>
      <c r="E23" s="346"/>
      <c r="F23" s="346"/>
      <c r="G23" s="346"/>
      <c r="H23" s="341"/>
      <c r="I23" s="346"/>
      <c r="J23" s="348"/>
      <c r="K23" s="350"/>
      <c r="L23" s="353"/>
      <c r="M23" s="356"/>
      <c r="N23" s="142"/>
      <c r="O23" s="350"/>
      <c r="P23" s="353"/>
      <c r="Q23" s="343"/>
      <c r="R23" s="130">
        <v>2</v>
      </c>
      <c r="S23" s="98"/>
      <c r="T23" s="131" t="str">
        <f t="shared" si="39"/>
        <v/>
      </c>
      <c r="U23" s="132"/>
      <c r="V23" s="132"/>
      <c r="W23" s="133"/>
      <c r="X23" s="132"/>
      <c r="Y23" s="132"/>
      <c r="Z23" s="132"/>
      <c r="AA23" s="134" t="str">
        <f>IFERROR(IF(T23="Probabilidad",(AA22-(+AA22*W23)),IF(T23="Impacto",L23,"")),"")</f>
        <v/>
      </c>
      <c r="AB23" s="135" t="str">
        <f t="shared" si="41"/>
        <v/>
      </c>
      <c r="AC23" s="136" t="str">
        <f t="shared" si="42"/>
        <v/>
      </c>
      <c r="AD23" s="135" t="str">
        <f t="shared" si="43"/>
        <v/>
      </c>
      <c r="AE23" s="136" t="str">
        <f t="shared" si="44"/>
        <v/>
      </c>
      <c r="AF23" s="137" t="str">
        <f t="shared" si="45"/>
        <v/>
      </c>
      <c r="AG23" s="138"/>
      <c r="AH23" s="119"/>
      <c r="AI23" s="127"/>
      <c r="AJ23" s="143"/>
      <c r="AK23" s="143"/>
      <c r="AL23" s="119"/>
      <c r="AM23" s="140"/>
    </row>
    <row r="24" spans="1:39" s="163" customFormat="1" ht="151.5" customHeight="1" x14ac:dyDescent="0.35">
      <c r="A24" s="369"/>
      <c r="B24" s="372"/>
      <c r="C24" s="375"/>
      <c r="D24" s="374"/>
      <c r="E24" s="346"/>
      <c r="F24" s="346"/>
      <c r="G24" s="346"/>
      <c r="H24" s="341"/>
      <c r="I24" s="346"/>
      <c r="J24" s="348"/>
      <c r="K24" s="351"/>
      <c r="L24" s="354"/>
      <c r="M24" s="356"/>
      <c r="N24" s="142"/>
      <c r="O24" s="351"/>
      <c r="P24" s="354"/>
      <c r="Q24" s="344"/>
      <c r="R24" s="130">
        <v>3</v>
      </c>
      <c r="S24" s="98"/>
      <c r="T24" s="131" t="str">
        <f t="shared" si="39"/>
        <v/>
      </c>
      <c r="U24" s="132"/>
      <c r="V24" s="132"/>
      <c r="W24" s="133"/>
      <c r="X24" s="132"/>
      <c r="Y24" s="132"/>
      <c r="Z24" s="132"/>
      <c r="AA24" s="134" t="str">
        <f>IFERROR(IF(T24="Probabilidad",(AA23-(+AA23*W24)),IF(T24="Impacto",L24,"")),"")</f>
        <v/>
      </c>
      <c r="AB24" s="135" t="str">
        <f t="shared" si="41"/>
        <v/>
      </c>
      <c r="AC24" s="136" t="str">
        <f t="shared" si="42"/>
        <v/>
      </c>
      <c r="AD24" s="135" t="str">
        <f t="shared" si="43"/>
        <v/>
      </c>
      <c r="AE24" s="136" t="str">
        <f t="shared" si="44"/>
        <v/>
      </c>
      <c r="AF24" s="137" t="str">
        <f t="shared" si="45"/>
        <v/>
      </c>
      <c r="AG24" s="138"/>
      <c r="AH24" s="119"/>
      <c r="AI24" s="127"/>
      <c r="AJ24" s="143"/>
      <c r="AK24" s="143"/>
      <c r="AL24" s="119"/>
      <c r="AM24" s="140"/>
    </row>
    <row r="25" spans="1:39" s="163" customFormat="1" ht="151.5" customHeight="1" x14ac:dyDescent="0.35">
      <c r="A25" s="369">
        <v>8</v>
      </c>
      <c r="B25" s="370" t="s">
        <v>224</v>
      </c>
      <c r="C25" s="373" t="s">
        <v>219</v>
      </c>
      <c r="D25" s="373" t="s">
        <v>220</v>
      </c>
      <c r="E25" s="345" t="s">
        <v>118</v>
      </c>
      <c r="F25" s="345" t="s">
        <v>225</v>
      </c>
      <c r="G25" s="345" t="s">
        <v>438</v>
      </c>
      <c r="H25" s="340" t="s">
        <v>226</v>
      </c>
      <c r="I25" s="345" t="s">
        <v>328</v>
      </c>
      <c r="J25" s="347">
        <v>1460</v>
      </c>
      <c r="K25" s="349" t="str">
        <f>IF(J25&lt;=0,"",IF(J25&lt;=2,"Muy Baja",IF(J25&lt;=24,"Baja",IF(J25&lt;=500,"Media",IF(J25&lt;=5000,"Alta","Muy Alta")))))</f>
        <v>Alta</v>
      </c>
      <c r="L25" s="352">
        <f>IF(K25="","",IF(K25="Muy Baja",0.2,IF(K25="Baja",0.4,IF(K25="Media",0.6,IF(K25="Alta",0.8,IF(K25="Muy Alta",1,))))))</f>
        <v>0.8</v>
      </c>
      <c r="M25" s="355" t="s">
        <v>492</v>
      </c>
      <c r="N25" s="129"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49" t="str">
        <f>IF(OR(N25='Tabla Impacto'!$C$11,N25='Tabla Impacto'!$D$11),"Leve",IF(OR(N25='Tabla Impacto'!$C$12,N25='Tabla Impacto'!$D$12),"Menor",IF(OR(N25='Tabla Impacto'!$C$13,N25='Tabla Impacto'!$D$13),"Moderado",IF(OR(N25='Tabla Impacto'!$C$14,N25='Tabla Impacto'!$D$14),"Mayor",IF(OR(N25='Tabla Impacto'!$C$15,N25='Tabla Impacto'!$D$15),"Catastrófico","")))))</f>
        <v>Mayor</v>
      </c>
      <c r="P25" s="352">
        <f>IF(O25="","",IF(O25="Leve",0.2,IF(O25="Menor",0.4,IF(O25="Moderado",0.6,IF(O25="Mayor",0.8,IF(O25="Catastrófico",1,))))))</f>
        <v>0.8</v>
      </c>
      <c r="Q25" s="342"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30">
        <v>1</v>
      </c>
      <c r="S25" s="120" t="s">
        <v>227</v>
      </c>
      <c r="T25" s="131" t="str">
        <f t="shared" si="39"/>
        <v>Probabilidad</v>
      </c>
      <c r="U25" s="132" t="s">
        <v>14</v>
      </c>
      <c r="V25" s="132" t="s">
        <v>9</v>
      </c>
      <c r="W25" s="133" t="str">
        <f t="shared" si="40"/>
        <v>40%</v>
      </c>
      <c r="X25" s="132" t="s">
        <v>19</v>
      </c>
      <c r="Y25" s="132" t="s">
        <v>22</v>
      </c>
      <c r="Z25" s="132" t="s">
        <v>110</v>
      </c>
      <c r="AA25" s="134">
        <f t="shared" si="46"/>
        <v>0.48</v>
      </c>
      <c r="AB25" s="135" t="str">
        <f t="shared" si="41"/>
        <v>Media</v>
      </c>
      <c r="AC25" s="136">
        <f t="shared" si="42"/>
        <v>0.48</v>
      </c>
      <c r="AD25" s="135" t="str">
        <f t="shared" si="43"/>
        <v>Mayor</v>
      </c>
      <c r="AE25" s="136">
        <f t="shared" si="44"/>
        <v>0.8</v>
      </c>
      <c r="AF25" s="137" t="str">
        <f t="shared" si="45"/>
        <v>Alto</v>
      </c>
      <c r="AG25" s="138" t="s">
        <v>122</v>
      </c>
      <c r="AH25" s="152" t="s">
        <v>229</v>
      </c>
      <c r="AI25" s="153" t="s">
        <v>212</v>
      </c>
      <c r="AJ25" s="128">
        <v>44562</v>
      </c>
      <c r="AK25" s="128" t="s">
        <v>373</v>
      </c>
      <c r="AL25" s="152" t="s">
        <v>230</v>
      </c>
      <c r="AM25" s="140"/>
    </row>
    <row r="26" spans="1:39" s="163" customFormat="1" ht="151.5" customHeight="1" x14ac:dyDescent="0.35">
      <c r="A26" s="369"/>
      <c r="B26" s="371"/>
      <c r="C26" s="375"/>
      <c r="D26" s="374"/>
      <c r="E26" s="346"/>
      <c r="F26" s="346"/>
      <c r="G26" s="346"/>
      <c r="H26" s="341"/>
      <c r="I26" s="346"/>
      <c r="J26" s="348"/>
      <c r="K26" s="350"/>
      <c r="L26" s="353"/>
      <c r="M26" s="356"/>
      <c r="N26" s="142"/>
      <c r="O26" s="350"/>
      <c r="P26" s="353"/>
      <c r="Q26" s="343"/>
      <c r="R26" s="130">
        <v>2</v>
      </c>
      <c r="S26" s="120" t="s">
        <v>228</v>
      </c>
      <c r="T26" s="131" t="str">
        <f t="shared" si="39"/>
        <v>Probabilidad</v>
      </c>
      <c r="U26" s="132" t="s">
        <v>14</v>
      </c>
      <c r="V26" s="132" t="s">
        <v>9</v>
      </c>
      <c r="W26" s="133" t="str">
        <f t="shared" si="40"/>
        <v>40%</v>
      </c>
      <c r="X26" s="132" t="s">
        <v>19</v>
      </c>
      <c r="Y26" s="132" t="s">
        <v>22</v>
      </c>
      <c r="Z26" s="132" t="s">
        <v>110</v>
      </c>
      <c r="AA26" s="134">
        <f>IFERROR(IF(T26="Probabilidad",(AA25-(+AA25*W26)),IF(T26="Impacto",L26,"")),"")</f>
        <v>0.28799999999999998</v>
      </c>
      <c r="AB26" s="135" t="str">
        <f t="shared" si="41"/>
        <v>Baja</v>
      </c>
      <c r="AC26" s="136">
        <f t="shared" si="42"/>
        <v>0.28799999999999998</v>
      </c>
      <c r="AD26" s="135" t="str">
        <f t="shared" si="43"/>
        <v>Mayor</v>
      </c>
      <c r="AE26" s="136">
        <v>0.8</v>
      </c>
      <c r="AF26" s="137" t="str">
        <f t="shared" si="45"/>
        <v>Alto</v>
      </c>
      <c r="AG26" s="138" t="s">
        <v>122</v>
      </c>
      <c r="AH26" s="152" t="s">
        <v>231</v>
      </c>
      <c r="AI26" s="153" t="s">
        <v>212</v>
      </c>
      <c r="AJ26" s="128">
        <v>44562</v>
      </c>
      <c r="AK26" s="128" t="s">
        <v>373</v>
      </c>
      <c r="AL26" s="152" t="s">
        <v>230</v>
      </c>
      <c r="AM26" s="140"/>
    </row>
    <row r="27" spans="1:39" s="163" customFormat="1" ht="151.5" customHeight="1" x14ac:dyDescent="0.35">
      <c r="A27" s="369"/>
      <c r="B27" s="372"/>
      <c r="C27" s="375"/>
      <c r="D27" s="374"/>
      <c r="E27" s="346"/>
      <c r="F27" s="346"/>
      <c r="G27" s="346"/>
      <c r="H27" s="341"/>
      <c r="I27" s="346"/>
      <c r="J27" s="348"/>
      <c r="K27" s="351"/>
      <c r="L27" s="354"/>
      <c r="M27" s="356"/>
      <c r="N27" s="142"/>
      <c r="O27" s="351"/>
      <c r="P27" s="354"/>
      <c r="Q27" s="344"/>
      <c r="R27" s="130">
        <v>3</v>
      </c>
      <c r="S27" s="98"/>
      <c r="T27" s="131" t="str">
        <f t="shared" si="39"/>
        <v/>
      </c>
      <c r="U27" s="132"/>
      <c r="V27" s="132"/>
      <c r="W27" s="133"/>
      <c r="X27" s="132"/>
      <c r="Y27" s="132"/>
      <c r="Z27" s="132"/>
      <c r="AA27" s="134" t="str">
        <f>IFERROR(IF(T27="Probabilidad",(AA26-(+AA26*W27)),IF(T27="Impacto",L27,"")),"")</f>
        <v/>
      </c>
      <c r="AB27" s="135" t="str">
        <f t="shared" si="41"/>
        <v/>
      </c>
      <c r="AC27" s="136" t="str">
        <f t="shared" si="42"/>
        <v/>
      </c>
      <c r="AD27" s="135" t="str">
        <f t="shared" si="43"/>
        <v/>
      </c>
      <c r="AE27" s="136" t="str">
        <f t="shared" si="44"/>
        <v/>
      </c>
      <c r="AF27" s="137" t="str">
        <f t="shared" si="45"/>
        <v/>
      </c>
      <c r="AG27" s="138"/>
      <c r="AH27" s="119"/>
      <c r="AI27" s="127"/>
      <c r="AJ27" s="143"/>
      <c r="AK27" s="143"/>
      <c r="AL27" s="119"/>
      <c r="AM27" s="140"/>
    </row>
    <row r="28" spans="1:39" s="163" customFormat="1" ht="151.5" customHeight="1" x14ac:dyDescent="0.35">
      <c r="A28" s="369">
        <v>9</v>
      </c>
      <c r="B28" s="370" t="s">
        <v>224</v>
      </c>
      <c r="C28" s="373" t="s">
        <v>219</v>
      </c>
      <c r="D28" s="373" t="s">
        <v>220</v>
      </c>
      <c r="E28" s="345" t="s">
        <v>120</v>
      </c>
      <c r="F28" s="345" t="s">
        <v>510</v>
      </c>
      <c r="G28" s="345" t="s">
        <v>232</v>
      </c>
      <c r="H28" s="340" t="s">
        <v>233</v>
      </c>
      <c r="I28" s="345" t="s">
        <v>328</v>
      </c>
      <c r="J28" s="347">
        <v>1460</v>
      </c>
      <c r="K28" s="349" t="str">
        <f>IF(J28&lt;=0,"",IF(J28&lt;=2,"Muy Baja",IF(J28&lt;=24,"Baja",IF(J28&lt;=500,"Media",IF(J28&lt;=5000,"Alta","Muy Alta")))))</f>
        <v>Alta</v>
      </c>
      <c r="L28" s="352">
        <f>IF(K28="","",IF(K28="Muy Baja",0.2,IF(K28="Baja",0.4,IF(K28="Media",0.6,IF(K28="Alta",0.8,IF(K28="Muy Alta",1,))))))</f>
        <v>0.8</v>
      </c>
      <c r="M28" s="355" t="s">
        <v>485</v>
      </c>
      <c r="N28" s="129"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49" t="str">
        <f>IF(OR(N28='Tabla Impacto'!$C$11,N28='Tabla Impacto'!$D$11),"Leve",IF(OR(N28='Tabla Impacto'!$C$12,N28='Tabla Impacto'!$D$12),"Menor",IF(OR(N28='Tabla Impacto'!$C$13,N28='Tabla Impacto'!$D$13),"Moderado",IF(OR(N28='Tabla Impacto'!$C$14,N28='Tabla Impacto'!$D$14),"Mayor",IF(OR(N28='Tabla Impacto'!$C$15,N28='Tabla Impacto'!$D$15),"Catastrófico","")))))</f>
        <v>Moderado</v>
      </c>
      <c r="P28" s="352">
        <f>IF(O28="","",IF(O28="Leve",0.2,IF(O28="Menor",0.4,IF(O28="Moderado",0.6,IF(O28="Mayor",0.8,IF(O28="Catastrófico",1,))))))</f>
        <v>0.6</v>
      </c>
      <c r="Q28" s="342"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0">
        <v>1</v>
      </c>
      <c r="S28" s="98" t="s">
        <v>227</v>
      </c>
      <c r="T28" s="131" t="str">
        <f t="shared" si="39"/>
        <v>Probabilidad</v>
      </c>
      <c r="U28" s="132" t="s">
        <v>14</v>
      </c>
      <c r="V28" s="132" t="s">
        <v>9</v>
      </c>
      <c r="W28" s="133" t="str">
        <f t="shared" si="40"/>
        <v>40%</v>
      </c>
      <c r="X28" s="132" t="s">
        <v>19</v>
      </c>
      <c r="Y28" s="132" t="s">
        <v>23</v>
      </c>
      <c r="Z28" s="132" t="s">
        <v>110</v>
      </c>
      <c r="AA28" s="134">
        <f t="shared" si="46"/>
        <v>0.48</v>
      </c>
      <c r="AB28" s="135" t="str">
        <f t="shared" si="41"/>
        <v>Media</v>
      </c>
      <c r="AC28" s="136">
        <f t="shared" si="42"/>
        <v>0.48</v>
      </c>
      <c r="AD28" s="135" t="str">
        <f t="shared" si="43"/>
        <v>Moderado</v>
      </c>
      <c r="AE28" s="136">
        <f t="shared" si="44"/>
        <v>0.6</v>
      </c>
      <c r="AF28" s="137" t="str">
        <f t="shared" si="45"/>
        <v>Moderado</v>
      </c>
      <c r="AG28" s="138" t="s">
        <v>122</v>
      </c>
      <c r="AH28" s="152" t="s">
        <v>236</v>
      </c>
      <c r="AI28" s="153" t="s">
        <v>212</v>
      </c>
      <c r="AJ28" s="128">
        <v>44562</v>
      </c>
      <c r="AK28" s="128" t="s">
        <v>373</v>
      </c>
      <c r="AL28" s="152" t="s">
        <v>235</v>
      </c>
      <c r="AM28" s="127"/>
    </row>
    <row r="29" spans="1:39" s="163" customFormat="1" ht="151.5" customHeight="1" x14ac:dyDescent="0.35">
      <c r="A29" s="369"/>
      <c r="B29" s="371"/>
      <c r="C29" s="375"/>
      <c r="D29" s="374"/>
      <c r="E29" s="346"/>
      <c r="F29" s="346"/>
      <c r="G29" s="346"/>
      <c r="H29" s="341"/>
      <c r="I29" s="346"/>
      <c r="J29" s="348"/>
      <c r="K29" s="350"/>
      <c r="L29" s="353"/>
      <c r="M29" s="356"/>
      <c r="N29" s="142"/>
      <c r="O29" s="350"/>
      <c r="P29" s="353"/>
      <c r="Q29" s="343"/>
      <c r="R29" s="130">
        <v>2</v>
      </c>
      <c r="S29" s="98" t="s">
        <v>228</v>
      </c>
      <c r="T29" s="131" t="str">
        <f t="shared" si="39"/>
        <v>Probabilidad</v>
      </c>
      <c r="U29" s="132" t="s">
        <v>14</v>
      </c>
      <c r="V29" s="132" t="s">
        <v>9</v>
      </c>
      <c r="W29" s="133" t="str">
        <f t="shared" si="40"/>
        <v>40%</v>
      </c>
      <c r="X29" s="132" t="s">
        <v>19</v>
      </c>
      <c r="Y29" s="132" t="s">
        <v>23</v>
      </c>
      <c r="Z29" s="132" t="s">
        <v>111</v>
      </c>
      <c r="AA29" s="134">
        <f>IFERROR(IF(T29="Probabilidad",(AA28-(+AA28*W29)),IF(T29="Impacto",L29,"")),"")</f>
        <v>0.28799999999999998</v>
      </c>
      <c r="AB29" s="135" t="str">
        <f t="shared" si="41"/>
        <v>Baja</v>
      </c>
      <c r="AC29" s="136">
        <f t="shared" si="42"/>
        <v>0.28799999999999998</v>
      </c>
      <c r="AD29" s="135" t="str">
        <f t="shared" si="43"/>
        <v>Moderado</v>
      </c>
      <c r="AE29" s="136">
        <v>0.6</v>
      </c>
      <c r="AF29" s="137" t="str">
        <f t="shared" si="45"/>
        <v>Moderado</v>
      </c>
      <c r="AG29" s="138" t="s">
        <v>122</v>
      </c>
      <c r="AH29" s="152" t="s">
        <v>236</v>
      </c>
      <c r="AI29" s="153" t="s">
        <v>212</v>
      </c>
      <c r="AJ29" s="128">
        <v>44562</v>
      </c>
      <c r="AK29" s="128" t="s">
        <v>373</v>
      </c>
      <c r="AL29" s="152" t="s">
        <v>235</v>
      </c>
      <c r="AM29" s="127"/>
    </row>
    <row r="30" spans="1:39" s="163" customFormat="1" ht="151.5" customHeight="1" x14ac:dyDescent="0.35">
      <c r="A30" s="369"/>
      <c r="B30" s="372"/>
      <c r="C30" s="375"/>
      <c r="D30" s="374"/>
      <c r="E30" s="346"/>
      <c r="F30" s="346"/>
      <c r="G30" s="346"/>
      <c r="H30" s="341"/>
      <c r="I30" s="346"/>
      <c r="J30" s="348"/>
      <c r="K30" s="351"/>
      <c r="L30" s="354"/>
      <c r="M30" s="356"/>
      <c r="N30" s="142"/>
      <c r="O30" s="351"/>
      <c r="P30" s="354"/>
      <c r="Q30" s="344"/>
      <c r="R30" s="130">
        <v>3</v>
      </c>
      <c r="S30" s="98" t="s">
        <v>234</v>
      </c>
      <c r="T30" s="131" t="str">
        <f t="shared" si="39"/>
        <v>Probabilidad</v>
      </c>
      <c r="U30" s="132" t="s">
        <v>15</v>
      </c>
      <c r="V30" s="132" t="s">
        <v>9</v>
      </c>
      <c r="W30" s="133" t="str">
        <f t="shared" si="40"/>
        <v>30%</v>
      </c>
      <c r="X30" s="132" t="s">
        <v>19</v>
      </c>
      <c r="Y30" s="132" t="s">
        <v>22</v>
      </c>
      <c r="Z30" s="132" t="s">
        <v>110</v>
      </c>
      <c r="AA30" s="134">
        <f>IFERROR(IF(T30="Probabilidad",(AA29-(+AA29*W30)),IF(T30="Impacto",L30,"")),"")</f>
        <v>0.2016</v>
      </c>
      <c r="AB30" s="135" t="str">
        <f t="shared" si="41"/>
        <v>Baja</v>
      </c>
      <c r="AC30" s="136">
        <f t="shared" si="42"/>
        <v>0.2016</v>
      </c>
      <c r="AD30" s="135" t="str">
        <f t="shared" si="43"/>
        <v>Moderado</v>
      </c>
      <c r="AE30" s="136">
        <v>0.6</v>
      </c>
      <c r="AF30" s="137" t="str">
        <f t="shared" si="45"/>
        <v>Moderado</v>
      </c>
      <c r="AG30" s="138" t="s">
        <v>122</v>
      </c>
      <c r="AH30" s="152" t="s">
        <v>236</v>
      </c>
      <c r="AI30" s="153" t="s">
        <v>212</v>
      </c>
      <c r="AJ30" s="128">
        <v>44562</v>
      </c>
      <c r="AK30" s="128" t="s">
        <v>373</v>
      </c>
      <c r="AL30" s="152" t="s">
        <v>235</v>
      </c>
      <c r="AM30" s="127"/>
    </row>
    <row r="31" spans="1:39" s="163" customFormat="1" ht="285" customHeight="1" x14ac:dyDescent="0.35">
      <c r="A31" s="369">
        <v>10</v>
      </c>
      <c r="B31" s="370" t="s">
        <v>237</v>
      </c>
      <c r="C31" s="373" t="s">
        <v>355</v>
      </c>
      <c r="D31" s="373" t="s">
        <v>383</v>
      </c>
      <c r="E31" s="345" t="s">
        <v>118</v>
      </c>
      <c r="F31" s="398" t="s">
        <v>364</v>
      </c>
      <c r="G31" s="398" t="s">
        <v>365</v>
      </c>
      <c r="H31" s="340" t="s">
        <v>541</v>
      </c>
      <c r="I31" s="345" t="s">
        <v>115</v>
      </c>
      <c r="J31" s="347">
        <v>20</v>
      </c>
      <c r="K31" s="349" t="str">
        <f>IF(J31&lt;=0,"",IF(J31&lt;=2,"Muy Baja",IF(J31&lt;=24,"Baja",IF(J31&lt;=500,"Media",IF(J31&lt;=5000,"Alta","Muy Alta")))))</f>
        <v>Baja</v>
      </c>
      <c r="L31" s="352">
        <f>IF(K31="","",IF(K31="Muy Baja",0.2,IF(K31="Baja",0.4,IF(K31="Media",0.6,IF(K31="Alta",0.8,IF(K31="Muy Alta",1,))))))</f>
        <v>0.4</v>
      </c>
      <c r="M31" s="355" t="s">
        <v>492</v>
      </c>
      <c r="N31" s="129"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49" t="str">
        <f>IF(OR(N31='Tabla Impacto'!$C$11,N31='Tabla Impacto'!$D$11),"Leve",IF(OR(N31='Tabla Impacto'!$C$12,N31='Tabla Impacto'!$D$12),"Menor",IF(OR(N31='Tabla Impacto'!$C$13,N31='Tabla Impacto'!$D$13),"Moderado",IF(OR(N31='Tabla Impacto'!$C$14,N31='Tabla Impacto'!$D$14),"Mayor",IF(OR(N31='Tabla Impacto'!$C$15,N31='Tabla Impacto'!$D$15),"Catastrófico","")))))</f>
        <v>Mayor</v>
      </c>
      <c r="P31" s="352">
        <f>IF(O31="","",IF(O31="Leve",0.2,IF(O31="Menor",0.4,IF(O31="Moderado",0.6,IF(O31="Mayor",0.8,IF(O31="Catastrófico",1,))))))</f>
        <v>0.8</v>
      </c>
      <c r="Q31" s="342"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30">
        <v>1</v>
      </c>
      <c r="S31" s="98" t="s">
        <v>574</v>
      </c>
      <c r="T31" s="131" t="str">
        <f t="shared" si="39"/>
        <v>Probabilidad</v>
      </c>
      <c r="U31" s="132" t="s">
        <v>14</v>
      </c>
      <c r="V31" s="132" t="s">
        <v>9</v>
      </c>
      <c r="W31" s="133" t="str">
        <f t="shared" si="40"/>
        <v>40%</v>
      </c>
      <c r="X31" s="132" t="s">
        <v>19</v>
      </c>
      <c r="Y31" s="132" t="s">
        <v>22</v>
      </c>
      <c r="Z31" s="132" t="s">
        <v>110</v>
      </c>
      <c r="AA31" s="134">
        <f t="shared" si="46"/>
        <v>0.24</v>
      </c>
      <c r="AB31" s="135" t="str">
        <f t="shared" si="41"/>
        <v>Baja</v>
      </c>
      <c r="AC31" s="136">
        <f t="shared" si="42"/>
        <v>0.24</v>
      </c>
      <c r="AD31" s="135" t="str">
        <f t="shared" si="43"/>
        <v>Mayor</v>
      </c>
      <c r="AE31" s="136">
        <f t="shared" si="44"/>
        <v>0.8</v>
      </c>
      <c r="AF31" s="137" t="str">
        <f t="shared" si="45"/>
        <v>Alto</v>
      </c>
      <c r="AG31" s="138" t="s">
        <v>122</v>
      </c>
      <c r="AH31" s="152" t="s">
        <v>575</v>
      </c>
      <c r="AI31" s="121" t="s">
        <v>198</v>
      </c>
      <c r="AJ31" s="128" t="s">
        <v>286</v>
      </c>
      <c r="AK31" s="128" t="s">
        <v>287</v>
      </c>
      <c r="AL31" s="119" t="s">
        <v>366</v>
      </c>
      <c r="AM31" s="127"/>
    </row>
    <row r="32" spans="1:39" s="163" customFormat="1" ht="151.5" customHeight="1" x14ac:dyDescent="0.35">
      <c r="A32" s="369"/>
      <c r="B32" s="371"/>
      <c r="C32" s="374"/>
      <c r="D32" s="374"/>
      <c r="E32" s="346"/>
      <c r="F32" s="346"/>
      <c r="G32" s="346"/>
      <c r="H32" s="341"/>
      <c r="I32" s="346"/>
      <c r="J32" s="348"/>
      <c r="K32" s="350"/>
      <c r="L32" s="353"/>
      <c r="M32" s="356"/>
      <c r="N32" s="142"/>
      <c r="O32" s="350"/>
      <c r="P32" s="353"/>
      <c r="Q32" s="343"/>
      <c r="R32" s="130">
        <v>2</v>
      </c>
      <c r="S32" s="98"/>
      <c r="T32" s="131" t="str">
        <f t="shared" si="39"/>
        <v/>
      </c>
      <c r="U32" s="132"/>
      <c r="V32" s="132"/>
      <c r="W32" s="133"/>
      <c r="X32" s="132"/>
      <c r="Y32" s="132"/>
      <c r="Z32" s="132"/>
      <c r="AA32" s="134" t="str">
        <f>IFERROR(IF(T32="Probabilidad",(AA31-(+AA31*W32)),IF(T32="Impacto",L32,"")),"")</f>
        <v/>
      </c>
      <c r="AB32" s="135" t="str">
        <f t="shared" si="41"/>
        <v/>
      </c>
      <c r="AC32" s="136" t="str">
        <f t="shared" si="42"/>
        <v/>
      </c>
      <c r="AD32" s="135" t="str">
        <f t="shared" si="43"/>
        <v/>
      </c>
      <c r="AE32" s="136" t="str">
        <f t="shared" si="44"/>
        <v/>
      </c>
      <c r="AF32" s="137" t="str">
        <f t="shared" si="45"/>
        <v/>
      </c>
      <c r="AG32" s="138"/>
      <c r="AH32" s="119"/>
      <c r="AI32" s="127"/>
      <c r="AJ32" s="143"/>
      <c r="AK32" s="143"/>
      <c r="AL32" s="119"/>
      <c r="AM32" s="127"/>
    </row>
    <row r="33" spans="1:39" s="163" customFormat="1" ht="151.5" customHeight="1" x14ac:dyDescent="0.35">
      <c r="A33" s="369"/>
      <c r="B33" s="372"/>
      <c r="C33" s="374"/>
      <c r="D33" s="374"/>
      <c r="E33" s="346"/>
      <c r="F33" s="346"/>
      <c r="G33" s="346"/>
      <c r="H33" s="341"/>
      <c r="I33" s="346"/>
      <c r="J33" s="348"/>
      <c r="K33" s="351"/>
      <c r="L33" s="354"/>
      <c r="M33" s="356"/>
      <c r="N33" s="142"/>
      <c r="O33" s="351"/>
      <c r="P33" s="354"/>
      <c r="Q33" s="344"/>
      <c r="R33" s="130">
        <v>3</v>
      </c>
      <c r="S33" s="98"/>
      <c r="T33" s="131" t="str">
        <f t="shared" si="39"/>
        <v/>
      </c>
      <c r="U33" s="132"/>
      <c r="V33" s="132"/>
      <c r="W33" s="133"/>
      <c r="X33" s="132"/>
      <c r="Y33" s="132"/>
      <c r="Z33" s="132"/>
      <c r="AA33" s="134" t="str">
        <f>IFERROR(IF(T33="Probabilidad",(AA32-(+AA32*W33)),IF(T33="Impacto",L33,"")),"")</f>
        <v/>
      </c>
      <c r="AB33" s="135" t="str">
        <f t="shared" si="41"/>
        <v/>
      </c>
      <c r="AC33" s="136" t="str">
        <f t="shared" si="42"/>
        <v/>
      </c>
      <c r="AD33" s="135" t="str">
        <f t="shared" si="43"/>
        <v/>
      </c>
      <c r="AE33" s="136" t="str">
        <f t="shared" si="44"/>
        <v/>
      </c>
      <c r="AF33" s="137" t="str">
        <f t="shared" si="45"/>
        <v/>
      </c>
      <c r="AG33" s="138"/>
      <c r="AH33" s="119"/>
      <c r="AI33" s="127"/>
      <c r="AJ33" s="143"/>
      <c r="AK33" s="143"/>
      <c r="AL33" s="119"/>
      <c r="AM33" s="127"/>
    </row>
    <row r="34" spans="1:39" s="163" customFormat="1" ht="176.25" customHeight="1" x14ac:dyDescent="0.35">
      <c r="A34" s="369">
        <v>11</v>
      </c>
      <c r="B34" s="370" t="s">
        <v>237</v>
      </c>
      <c r="C34" s="373" t="s">
        <v>355</v>
      </c>
      <c r="D34" s="373" t="s">
        <v>383</v>
      </c>
      <c r="E34" s="345" t="s">
        <v>120</v>
      </c>
      <c r="F34" s="398" t="s">
        <v>367</v>
      </c>
      <c r="G34" s="398" t="s">
        <v>365</v>
      </c>
      <c r="H34" s="340" t="s">
        <v>238</v>
      </c>
      <c r="I34" s="345" t="s">
        <v>115</v>
      </c>
      <c r="J34" s="347">
        <v>20</v>
      </c>
      <c r="K34" s="349" t="str">
        <f>IF(J34&lt;=0,"",IF(J34&lt;=2,"Muy Baja",IF(J34&lt;=24,"Baja",IF(J34&lt;=500,"Media",IF(J34&lt;=5000,"Alta","Muy Alta")))))</f>
        <v>Baja</v>
      </c>
      <c r="L34" s="352">
        <f>IF(K34="","",IF(K34="Muy Baja",0.2,IF(K34="Baja",0.4,IF(K34="Media",0.6,IF(K34="Alta",0.8,IF(K34="Muy Alta",1,))))))</f>
        <v>0.4</v>
      </c>
      <c r="M34" s="355" t="s">
        <v>485</v>
      </c>
      <c r="N34" s="129"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49" t="str">
        <f>IF(OR(N34='Tabla Impacto'!$C$11,N34='Tabla Impacto'!$D$11),"Leve",IF(OR(N34='Tabla Impacto'!$C$12,N34='Tabla Impacto'!$D$12),"Menor",IF(OR(N34='Tabla Impacto'!$C$13,N34='Tabla Impacto'!$D$13),"Moderado",IF(OR(N34='Tabla Impacto'!$C$14,N34='Tabla Impacto'!$D$14),"Mayor",IF(OR(N34='Tabla Impacto'!$C$15,N34='Tabla Impacto'!$D$15),"Catastrófico","")))))</f>
        <v>Moderado</v>
      </c>
      <c r="P34" s="352">
        <f>IF(O34="","",IF(O34="Leve",0.2,IF(O34="Menor",0.4,IF(O34="Moderado",0.6,IF(O34="Mayor",0.8,IF(O34="Catastrófico",1,))))))</f>
        <v>0.6</v>
      </c>
      <c r="Q34" s="342"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30">
        <v>1</v>
      </c>
      <c r="S34" s="98" t="s">
        <v>542</v>
      </c>
      <c r="T34" s="131" t="str">
        <f t="shared" si="39"/>
        <v>Probabilidad</v>
      </c>
      <c r="U34" s="132" t="s">
        <v>14</v>
      </c>
      <c r="V34" s="132" t="s">
        <v>9</v>
      </c>
      <c r="W34" s="133" t="str">
        <f t="shared" si="40"/>
        <v>40%</v>
      </c>
      <c r="X34" s="132" t="s">
        <v>19</v>
      </c>
      <c r="Y34" s="132" t="s">
        <v>22</v>
      </c>
      <c r="Z34" s="132" t="s">
        <v>110</v>
      </c>
      <c r="AA34" s="134">
        <f t="shared" si="46"/>
        <v>0.24</v>
      </c>
      <c r="AB34" s="135" t="str">
        <f t="shared" si="41"/>
        <v>Baja</v>
      </c>
      <c r="AC34" s="136">
        <f t="shared" si="42"/>
        <v>0.24</v>
      </c>
      <c r="AD34" s="135" t="str">
        <f t="shared" si="43"/>
        <v>Moderado</v>
      </c>
      <c r="AE34" s="136">
        <f t="shared" si="44"/>
        <v>0.6</v>
      </c>
      <c r="AF34" s="137" t="str">
        <f t="shared" si="45"/>
        <v>Moderado</v>
      </c>
      <c r="AG34" s="138" t="s">
        <v>122</v>
      </c>
      <c r="AH34" s="119" t="s">
        <v>368</v>
      </c>
      <c r="AI34" s="127" t="s">
        <v>239</v>
      </c>
      <c r="AJ34" s="128">
        <v>44562</v>
      </c>
      <c r="AK34" s="128" t="s">
        <v>373</v>
      </c>
      <c r="AL34" s="119" t="s">
        <v>366</v>
      </c>
      <c r="AM34" s="140"/>
    </row>
    <row r="35" spans="1:39" s="163" customFormat="1" ht="151.5" customHeight="1" x14ac:dyDescent="0.35">
      <c r="A35" s="369"/>
      <c r="B35" s="371"/>
      <c r="C35" s="374"/>
      <c r="D35" s="374"/>
      <c r="E35" s="346"/>
      <c r="F35" s="346"/>
      <c r="G35" s="346"/>
      <c r="H35" s="341"/>
      <c r="I35" s="346"/>
      <c r="J35" s="348"/>
      <c r="K35" s="350"/>
      <c r="L35" s="353"/>
      <c r="M35" s="356"/>
      <c r="N35" s="142"/>
      <c r="O35" s="350"/>
      <c r="P35" s="353"/>
      <c r="Q35" s="343"/>
      <c r="R35" s="130">
        <v>2</v>
      </c>
      <c r="S35" s="98"/>
      <c r="T35" s="131" t="str">
        <f t="shared" si="39"/>
        <v/>
      </c>
      <c r="U35" s="132"/>
      <c r="V35" s="132"/>
      <c r="W35" s="133"/>
      <c r="X35" s="132"/>
      <c r="Y35" s="132"/>
      <c r="Z35" s="132"/>
      <c r="AA35" s="134" t="str">
        <f>IFERROR(IF(T35="Probabilidad",(AA34-(+AA34*W35)),IF(T35="Impacto",L35,"")),"")</f>
        <v/>
      </c>
      <c r="AB35" s="135" t="str">
        <f t="shared" si="41"/>
        <v/>
      </c>
      <c r="AC35" s="136" t="str">
        <f t="shared" si="42"/>
        <v/>
      </c>
      <c r="AD35" s="135" t="str">
        <f t="shared" si="43"/>
        <v/>
      </c>
      <c r="AE35" s="136" t="str">
        <f t="shared" si="44"/>
        <v/>
      </c>
      <c r="AF35" s="137" t="str">
        <f t="shared" si="45"/>
        <v/>
      </c>
      <c r="AG35" s="138"/>
      <c r="AH35" s="119"/>
      <c r="AI35" s="127"/>
      <c r="AJ35" s="143"/>
      <c r="AK35" s="143"/>
      <c r="AL35" s="119"/>
      <c r="AM35" s="140"/>
    </row>
    <row r="36" spans="1:39" s="163" customFormat="1" ht="151.5" customHeight="1" x14ac:dyDescent="0.35">
      <c r="A36" s="393"/>
      <c r="B36" s="372"/>
      <c r="C36" s="374"/>
      <c r="D36" s="374"/>
      <c r="E36" s="346"/>
      <c r="F36" s="346"/>
      <c r="G36" s="346"/>
      <c r="H36" s="341"/>
      <c r="I36" s="346"/>
      <c r="J36" s="348"/>
      <c r="K36" s="351"/>
      <c r="L36" s="354"/>
      <c r="M36" s="356"/>
      <c r="N36" s="142"/>
      <c r="O36" s="351"/>
      <c r="P36" s="354"/>
      <c r="Q36" s="344"/>
      <c r="R36" s="130">
        <v>3</v>
      </c>
      <c r="S36" s="98"/>
      <c r="T36" s="131" t="str">
        <f t="shared" si="39"/>
        <v/>
      </c>
      <c r="U36" s="132"/>
      <c r="V36" s="132"/>
      <c r="W36" s="133"/>
      <c r="X36" s="132"/>
      <c r="Y36" s="132"/>
      <c r="Z36" s="132"/>
      <c r="AA36" s="134" t="str">
        <f>IFERROR(IF(T36="Probabilidad",(AA35-(+AA35*W36)),IF(T36="Impacto",L36,"")),"")</f>
        <v/>
      </c>
      <c r="AB36" s="135" t="str">
        <f t="shared" si="41"/>
        <v/>
      </c>
      <c r="AC36" s="136" t="str">
        <f t="shared" si="42"/>
        <v/>
      </c>
      <c r="AD36" s="135" t="str">
        <f t="shared" si="43"/>
        <v/>
      </c>
      <c r="AE36" s="136" t="str">
        <f t="shared" si="44"/>
        <v/>
      </c>
      <c r="AF36" s="137" t="str">
        <f t="shared" si="45"/>
        <v/>
      </c>
      <c r="AG36" s="138"/>
      <c r="AH36" s="119"/>
      <c r="AI36" s="127"/>
      <c r="AJ36" s="143"/>
      <c r="AK36" s="143"/>
      <c r="AL36" s="119"/>
      <c r="AM36" s="140"/>
    </row>
    <row r="37" spans="1:39" s="163" customFormat="1" ht="183.75" customHeight="1" x14ac:dyDescent="0.35">
      <c r="A37" s="368">
        <v>12</v>
      </c>
      <c r="B37" s="370" t="s">
        <v>237</v>
      </c>
      <c r="C37" s="373" t="s">
        <v>355</v>
      </c>
      <c r="D37" s="373" t="s">
        <v>383</v>
      </c>
      <c r="E37" s="345" t="s">
        <v>120</v>
      </c>
      <c r="F37" s="346" t="s">
        <v>439</v>
      </c>
      <c r="G37" s="346" t="s">
        <v>440</v>
      </c>
      <c r="H37" s="340" t="s">
        <v>441</v>
      </c>
      <c r="I37" s="345" t="s">
        <v>328</v>
      </c>
      <c r="J37" s="347">
        <v>2</v>
      </c>
      <c r="K37" s="349" t="str">
        <f>IF(J37&lt;=0,"",IF(J37&lt;=2,"Muy Baja",IF(J37&lt;=24,"Baja",IF(J37&lt;=500,"Media",IF(J37&lt;=5000,"Alta","Muy Alta")))))</f>
        <v>Muy Baja</v>
      </c>
      <c r="L37" s="352">
        <f>IF(K37="","",IF(K37="Muy Baja",0.2,IF(K37="Baja",0.4,IF(K37="Media",0.6,IF(K37="Alta",0.8,IF(K37="Muy Alta",1,))))))</f>
        <v>0.2</v>
      </c>
      <c r="M37" s="355" t="s">
        <v>485</v>
      </c>
      <c r="N37" s="129"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49" t="str">
        <f>IF(OR(N37='Tabla Impacto'!$C$11,N37='Tabla Impacto'!$D$11),"Leve",IF(OR(N37='Tabla Impacto'!$C$12,N37='Tabla Impacto'!$D$12),"Menor",IF(OR(N37='Tabla Impacto'!$C$13,N37='Tabla Impacto'!$D$13),"Moderado",IF(OR(N37='Tabla Impacto'!$C$14,N37='Tabla Impacto'!$D$14),"Mayor",IF(OR(N37='Tabla Impacto'!$C$15,N37='Tabla Impacto'!$D$15),"Catastrófico","")))))</f>
        <v>Moderado</v>
      </c>
      <c r="P37" s="352">
        <f>IF(O37="","",IF(O37="Leve",0.2,IF(O37="Menor",0.4,IF(O37="Moderado",0.6,IF(O37="Mayor",0.8,IF(O37="Catastrófico",1,))))))</f>
        <v>0.6</v>
      </c>
      <c r="Q37" s="342"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30">
        <v>1</v>
      </c>
      <c r="S37" s="98" t="s">
        <v>369</v>
      </c>
      <c r="T37" s="131" t="str">
        <f t="shared" si="39"/>
        <v>Probabilidad</v>
      </c>
      <c r="U37" s="132" t="s">
        <v>14</v>
      </c>
      <c r="V37" s="132" t="s">
        <v>9</v>
      </c>
      <c r="W37" s="133" t="str">
        <f t="shared" si="40"/>
        <v>40%</v>
      </c>
      <c r="X37" s="132" t="s">
        <v>19</v>
      </c>
      <c r="Y37" s="132" t="s">
        <v>22</v>
      </c>
      <c r="Z37" s="132" t="s">
        <v>110</v>
      </c>
      <c r="AA37" s="134">
        <f t="shared" si="46"/>
        <v>0.12</v>
      </c>
      <c r="AB37" s="135" t="str">
        <f t="shared" si="41"/>
        <v>Muy Baja</v>
      </c>
      <c r="AC37" s="136">
        <f t="shared" si="42"/>
        <v>0.12</v>
      </c>
      <c r="AD37" s="135" t="str">
        <f t="shared" si="43"/>
        <v>Moderado</v>
      </c>
      <c r="AE37" s="136">
        <f t="shared" si="44"/>
        <v>0.6</v>
      </c>
      <c r="AF37" s="137" t="str">
        <f t="shared" si="45"/>
        <v>Moderado</v>
      </c>
      <c r="AG37" s="138" t="s">
        <v>122</v>
      </c>
      <c r="AH37" s="119" t="s">
        <v>370</v>
      </c>
      <c r="AI37" s="127" t="s">
        <v>239</v>
      </c>
      <c r="AJ37" s="128">
        <v>44562</v>
      </c>
      <c r="AK37" s="128" t="s">
        <v>373</v>
      </c>
      <c r="AL37" s="119" t="s">
        <v>371</v>
      </c>
      <c r="AM37" s="140"/>
    </row>
    <row r="38" spans="1:39" s="163" customFormat="1" ht="151.5" customHeight="1" x14ac:dyDescent="0.35">
      <c r="A38" s="369"/>
      <c r="B38" s="371"/>
      <c r="C38" s="374"/>
      <c r="D38" s="374"/>
      <c r="E38" s="346"/>
      <c r="F38" s="346" t="s">
        <v>240</v>
      </c>
      <c r="G38" s="346" t="s">
        <v>241</v>
      </c>
      <c r="H38" s="341"/>
      <c r="I38" s="346"/>
      <c r="J38" s="348"/>
      <c r="K38" s="350"/>
      <c r="L38" s="353"/>
      <c r="M38" s="356"/>
      <c r="N38" s="142"/>
      <c r="O38" s="350"/>
      <c r="P38" s="353"/>
      <c r="Q38" s="343"/>
      <c r="R38" s="130">
        <v>2</v>
      </c>
      <c r="S38" s="98"/>
      <c r="T38" s="131" t="str">
        <f t="shared" si="39"/>
        <v/>
      </c>
      <c r="U38" s="132"/>
      <c r="V38" s="132"/>
      <c r="W38" s="133"/>
      <c r="X38" s="132"/>
      <c r="Y38" s="132"/>
      <c r="Z38" s="132"/>
      <c r="AA38" s="134"/>
      <c r="AB38" s="135"/>
      <c r="AC38" s="136"/>
      <c r="AD38" s="135"/>
      <c r="AE38" s="136"/>
      <c r="AF38" s="137"/>
      <c r="AG38" s="138"/>
      <c r="AH38" s="119"/>
      <c r="AI38" s="127"/>
      <c r="AJ38" s="143"/>
      <c r="AK38" s="143"/>
      <c r="AL38" s="119"/>
      <c r="AM38" s="140"/>
    </row>
    <row r="39" spans="1:39" s="163" customFormat="1" ht="151.5" customHeight="1" x14ac:dyDescent="0.35">
      <c r="A39" s="369"/>
      <c r="B39" s="372"/>
      <c r="C39" s="374"/>
      <c r="D39" s="374"/>
      <c r="E39" s="346"/>
      <c r="F39" s="346" t="s">
        <v>240</v>
      </c>
      <c r="G39" s="346" t="s">
        <v>241</v>
      </c>
      <c r="H39" s="341"/>
      <c r="I39" s="346"/>
      <c r="J39" s="348"/>
      <c r="K39" s="351"/>
      <c r="L39" s="354"/>
      <c r="M39" s="356"/>
      <c r="N39" s="142"/>
      <c r="O39" s="351"/>
      <c r="P39" s="354"/>
      <c r="Q39" s="344"/>
      <c r="R39" s="130">
        <v>3</v>
      </c>
      <c r="S39" s="98"/>
      <c r="T39" s="131" t="str">
        <f t="shared" si="39"/>
        <v/>
      </c>
      <c r="U39" s="132"/>
      <c r="V39" s="132"/>
      <c r="W39" s="133"/>
      <c r="X39" s="132"/>
      <c r="Y39" s="132"/>
      <c r="Z39" s="132"/>
      <c r="AA39" s="134"/>
      <c r="AB39" s="135"/>
      <c r="AC39" s="136"/>
      <c r="AD39" s="135"/>
      <c r="AE39" s="136"/>
      <c r="AF39" s="137"/>
      <c r="AG39" s="138"/>
      <c r="AH39" s="119"/>
      <c r="AI39" s="127"/>
      <c r="AJ39" s="143"/>
      <c r="AK39" s="143"/>
      <c r="AL39" s="119"/>
      <c r="AM39" s="140"/>
    </row>
    <row r="40" spans="1:39" s="163" customFormat="1" ht="151.5" customHeight="1" x14ac:dyDescent="0.35">
      <c r="A40" s="369">
        <v>13</v>
      </c>
      <c r="B40" s="370" t="s">
        <v>242</v>
      </c>
      <c r="C40" s="373" t="s">
        <v>385</v>
      </c>
      <c r="D40" s="373" t="s">
        <v>249</v>
      </c>
      <c r="E40" s="345" t="s">
        <v>120</v>
      </c>
      <c r="F40" s="398" t="s">
        <v>243</v>
      </c>
      <c r="G40" s="398" t="s">
        <v>244</v>
      </c>
      <c r="H40" s="340" t="s">
        <v>384</v>
      </c>
      <c r="I40" s="345" t="s">
        <v>328</v>
      </c>
      <c r="J40" s="347">
        <v>12</v>
      </c>
      <c r="K40" s="349" t="str">
        <f>IF(J40&lt;=0,"",IF(J40&lt;=2,"Muy Baja",IF(J40&lt;=24,"Baja",IF(J40&lt;=500,"Media",IF(J40&lt;=5000,"Alta","Muy Alta")))))</f>
        <v>Baja</v>
      </c>
      <c r="L40" s="352">
        <f>IF(K40="","",IF(K40="Muy Baja",0.2,IF(K40="Baja",0.4,IF(K40="Media",0.6,IF(K40="Alta",0.8,IF(K40="Muy Alta",1,))))))</f>
        <v>0.4</v>
      </c>
      <c r="M40" s="355" t="s">
        <v>485</v>
      </c>
      <c r="N40" s="12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49" t="str">
        <f>IF(OR(N40='Tabla Impacto'!$C$11,N40='Tabla Impacto'!$D$11),"Leve",IF(OR(N40='Tabla Impacto'!$C$12,N40='Tabla Impacto'!$D$12),"Menor",IF(OR(N40='Tabla Impacto'!$C$13,N40='Tabla Impacto'!$D$13),"Moderado",IF(OR(N40='Tabla Impacto'!$C$14,N40='Tabla Impacto'!$D$14),"Mayor",IF(OR(N40='Tabla Impacto'!$C$15,N40='Tabla Impacto'!$D$15),"Catastrófico","")))))</f>
        <v>Moderado</v>
      </c>
      <c r="P40" s="352">
        <f>IF(O40="","",IF(O40="Leve",0.2,IF(O40="Menor",0.4,IF(O40="Moderado",0.6,IF(O40="Mayor",0.8,IF(O40="Catastrófico",1,))))))</f>
        <v>0.6</v>
      </c>
      <c r="Q40" s="342"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30">
        <v>1</v>
      </c>
      <c r="S40" s="98" t="s">
        <v>245</v>
      </c>
      <c r="T40" s="131" t="str">
        <f t="shared" si="39"/>
        <v>Probabilidad</v>
      </c>
      <c r="U40" s="132" t="s">
        <v>14</v>
      </c>
      <c r="V40" s="132" t="s">
        <v>9</v>
      </c>
      <c r="W40" s="133" t="str">
        <f t="shared" si="40"/>
        <v>40%</v>
      </c>
      <c r="X40" s="132" t="s">
        <v>19</v>
      </c>
      <c r="Y40" s="132" t="s">
        <v>22</v>
      </c>
      <c r="Z40" s="132" t="s">
        <v>110</v>
      </c>
      <c r="AA40" s="134">
        <f t="shared" si="46"/>
        <v>0.24</v>
      </c>
      <c r="AB40" s="135" t="str">
        <f t="shared" si="41"/>
        <v>Baja</v>
      </c>
      <c r="AC40" s="136">
        <f t="shared" si="42"/>
        <v>0.24</v>
      </c>
      <c r="AD40" s="135" t="str">
        <f t="shared" si="43"/>
        <v>Moderado</v>
      </c>
      <c r="AE40" s="136">
        <f t="shared" si="44"/>
        <v>0.6</v>
      </c>
      <c r="AF40" s="137" t="str">
        <f t="shared" si="45"/>
        <v>Moderado</v>
      </c>
      <c r="AG40" s="138" t="s">
        <v>122</v>
      </c>
      <c r="AH40" s="119" t="s">
        <v>246</v>
      </c>
      <c r="AI40" s="127" t="s">
        <v>203</v>
      </c>
      <c r="AJ40" s="143">
        <v>44562</v>
      </c>
      <c r="AK40" s="143">
        <v>44926</v>
      </c>
      <c r="AL40" s="119" t="s">
        <v>247</v>
      </c>
      <c r="AM40" s="140"/>
    </row>
    <row r="41" spans="1:39" s="163" customFormat="1" ht="151.5" customHeight="1" x14ac:dyDescent="0.35">
      <c r="A41" s="369"/>
      <c r="B41" s="371"/>
      <c r="C41" s="374"/>
      <c r="D41" s="375"/>
      <c r="E41" s="346"/>
      <c r="F41" s="346"/>
      <c r="G41" s="346"/>
      <c r="H41" s="341"/>
      <c r="I41" s="346"/>
      <c r="J41" s="348"/>
      <c r="K41" s="350"/>
      <c r="L41" s="353"/>
      <c r="M41" s="356"/>
      <c r="N41" s="142"/>
      <c r="O41" s="350"/>
      <c r="P41" s="353"/>
      <c r="Q41" s="343"/>
      <c r="R41" s="130">
        <v>2</v>
      </c>
      <c r="S41" s="98" t="s">
        <v>205</v>
      </c>
      <c r="T41" s="131" t="str">
        <f t="shared" si="39"/>
        <v>Probabilidad</v>
      </c>
      <c r="U41" s="132" t="s">
        <v>14</v>
      </c>
      <c r="V41" s="132" t="s">
        <v>9</v>
      </c>
      <c r="W41" s="133" t="str">
        <f t="shared" si="40"/>
        <v>40%</v>
      </c>
      <c r="X41" s="132" t="s">
        <v>19</v>
      </c>
      <c r="Y41" s="132" t="s">
        <v>22</v>
      </c>
      <c r="Z41" s="132" t="s">
        <v>110</v>
      </c>
      <c r="AA41" s="154">
        <f>IFERROR(IF(T41="Probabilidad",(AA40-(+AA40*W41)),IF(T41="Impacto",L41,"")),"")</f>
        <v>0.14399999999999999</v>
      </c>
      <c r="AB41" s="135" t="str">
        <f t="shared" si="41"/>
        <v>Muy Baja</v>
      </c>
      <c r="AC41" s="136">
        <f t="shared" si="42"/>
        <v>0.14399999999999999</v>
      </c>
      <c r="AD41" s="135" t="str">
        <f t="shared" si="43"/>
        <v>Moderado</v>
      </c>
      <c r="AE41" s="136">
        <v>0.6</v>
      </c>
      <c r="AF41" s="137" t="str">
        <f t="shared" si="45"/>
        <v>Moderado</v>
      </c>
      <c r="AG41" s="138" t="s">
        <v>122</v>
      </c>
      <c r="AH41" s="119" t="s">
        <v>248</v>
      </c>
      <c r="AI41" s="127" t="s">
        <v>203</v>
      </c>
      <c r="AJ41" s="143">
        <v>44562</v>
      </c>
      <c r="AK41" s="143">
        <v>44926</v>
      </c>
      <c r="AL41" s="119" t="s">
        <v>247</v>
      </c>
      <c r="AM41" s="140"/>
    </row>
    <row r="42" spans="1:39" s="163" customFormat="1" ht="151.5" customHeight="1" x14ac:dyDescent="0.35">
      <c r="A42" s="369"/>
      <c r="B42" s="372"/>
      <c r="C42" s="374"/>
      <c r="D42" s="375"/>
      <c r="E42" s="346"/>
      <c r="F42" s="346"/>
      <c r="G42" s="346"/>
      <c r="H42" s="341"/>
      <c r="I42" s="346"/>
      <c r="J42" s="348"/>
      <c r="K42" s="351"/>
      <c r="L42" s="354"/>
      <c r="M42" s="356"/>
      <c r="N42" s="142"/>
      <c r="O42" s="351"/>
      <c r="P42" s="354"/>
      <c r="Q42" s="344"/>
      <c r="R42" s="130">
        <v>3</v>
      </c>
      <c r="S42" s="98"/>
      <c r="T42" s="131" t="str">
        <f t="shared" si="39"/>
        <v/>
      </c>
      <c r="U42" s="132"/>
      <c r="V42" s="132"/>
      <c r="W42" s="133"/>
      <c r="X42" s="132"/>
      <c r="Y42" s="132"/>
      <c r="Z42" s="132"/>
      <c r="AA42" s="134" t="str">
        <f>IFERROR(IF(T42="Probabilidad",(AA41-(+AA41*W42)),IF(T42="Impacto",L42,"")),"")</f>
        <v/>
      </c>
      <c r="AB42" s="135" t="str">
        <f t="shared" si="41"/>
        <v/>
      </c>
      <c r="AC42" s="136" t="str">
        <f t="shared" si="42"/>
        <v/>
      </c>
      <c r="AD42" s="135" t="str">
        <f t="shared" si="43"/>
        <v/>
      </c>
      <c r="AE42" s="136" t="str">
        <f t="shared" si="44"/>
        <v/>
      </c>
      <c r="AF42" s="137" t="str">
        <f t="shared" si="45"/>
        <v/>
      </c>
      <c r="AG42" s="138"/>
      <c r="AH42" s="119"/>
      <c r="AI42" s="127"/>
      <c r="AJ42" s="143"/>
      <c r="AK42" s="143"/>
      <c r="AL42" s="119"/>
      <c r="AM42" s="140"/>
    </row>
    <row r="43" spans="1:39" s="163" customFormat="1" ht="151.5" customHeight="1" x14ac:dyDescent="0.35">
      <c r="A43" s="369">
        <v>14</v>
      </c>
      <c r="B43" s="370" t="s">
        <v>242</v>
      </c>
      <c r="C43" s="373" t="s">
        <v>385</v>
      </c>
      <c r="D43" s="373" t="s">
        <v>249</v>
      </c>
      <c r="E43" s="345" t="s">
        <v>120</v>
      </c>
      <c r="F43" s="345" t="s">
        <v>250</v>
      </c>
      <c r="G43" s="398" t="s">
        <v>251</v>
      </c>
      <c r="H43" s="340" t="s">
        <v>252</v>
      </c>
      <c r="I43" s="345" t="s">
        <v>328</v>
      </c>
      <c r="J43" s="347">
        <v>900</v>
      </c>
      <c r="K43" s="349" t="str">
        <f>IF(J43&lt;=0,"",IF(J43&lt;=2,"Muy Baja",IF(J43&lt;=24,"Baja",IF(J43&lt;=500,"Media",IF(J43&lt;=5000,"Alta","Muy Alta")))))</f>
        <v>Alta</v>
      </c>
      <c r="L43" s="352">
        <f>IF(K43="","",IF(K43="Muy Baja",0.2,IF(K43="Baja",0.4,IF(K43="Media",0.6,IF(K43="Alta",0.8,IF(K43="Muy Alta",1,))))))</f>
        <v>0.8</v>
      </c>
      <c r="M43" s="355" t="s">
        <v>485</v>
      </c>
      <c r="N43" s="129"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49" t="str">
        <f>IF(OR(N43='Tabla Impacto'!$C$11,N43='Tabla Impacto'!$D$11),"Leve",IF(OR(N43='Tabla Impacto'!$C$12,N43='Tabla Impacto'!$D$12),"Menor",IF(OR(N43='Tabla Impacto'!$C$13,N43='Tabla Impacto'!$D$13),"Moderado",IF(OR(N43='Tabla Impacto'!$C$14,N43='Tabla Impacto'!$D$14),"Mayor",IF(OR(N43='Tabla Impacto'!$C$15,N43='Tabla Impacto'!$D$15),"Catastrófico","")))))</f>
        <v>Moderado</v>
      </c>
      <c r="P43" s="352">
        <f>IF(O43="","",IF(O43="Leve",0.2,IF(O43="Menor",0.4,IF(O43="Moderado",0.6,IF(O43="Mayor",0.8,IF(O43="Catastrófico",1,))))))</f>
        <v>0.6</v>
      </c>
      <c r="Q43" s="342"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30">
        <v>1</v>
      </c>
      <c r="S43" s="98" t="s">
        <v>253</v>
      </c>
      <c r="T43" s="131" t="str">
        <f t="shared" ref="T43:T45" si="47">IF(OR(U43="Preventivo",U43="Detectivo"),"Probabilidad",IF(U43="Correctivo","Impacto",""))</f>
        <v>Probabilidad</v>
      </c>
      <c r="U43" s="132" t="s">
        <v>14</v>
      </c>
      <c r="V43" s="132" t="s">
        <v>9</v>
      </c>
      <c r="W43" s="133" t="str">
        <f t="shared" ref="W43" si="48">IF(AND(U43="Preventivo",V43="Automático"),"50%",IF(AND(U43="Preventivo",V43="Manual"),"40%",IF(AND(U43="Detectivo",V43="Automático"),"40%",IF(AND(U43="Detectivo",V43="Manual"),"30%",IF(AND(U43="Correctivo",V43="Automático"),"35%",IF(AND(U43="Correctivo",V43="Manual"),"25%",""))))))</f>
        <v>40%</v>
      </c>
      <c r="X43" s="132" t="s">
        <v>19</v>
      </c>
      <c r="Y43" s="132" t="s">
        <v>22</v>
      </c>
      <c r="Z43" s="132" t="s">
        <v>110</v>
      </c>
      <c r="AA43" s="134">
        <f t="shared" ref="AA43" si="49">IFERROR(IF(T43="Probabilidad",(L43-(+L43*W43)),IF(T43="Impacto",L43,"")),"")</f>
        <v>0.48</v>
      </c>
      <c r="AB43" s="135" t="str">
        <f t="shared" ref="AB43:AB45" si="50">IFERROR(IF(AA43="","",IF(AA43&lt;=0.2,"Muy Baja",IF(AA43&lt;=0.4,"Baja",IF(AA43&lt;=0.6,"Media",IF(AA43&lt;=0.8,"Alta","Muy Alta"))))),"")</f>
        <v>Media</v>
      </c>
      <c r="AC43" s="136">
        <f t="shared" ref="AC43:AC45" si="51">+AA43</f>
        <v>0.48</v>
      </c>
      <c r="AD43" s="135" t="str">
        <f t="shared" ref="AD43:AD45" si="52">IFERROR(IF(AE43="","",IF(AE43&lt;=0.2,"Leve",IF(AE43&lt;=0.4,"Menor",IF(AE43&lt;=0.6,"Moderado",IF(AE43&lt;=0.8,"Mayor","Catastrófico"))))),"")</f>
        <v>Moderado</v>
      </c>
      <c r="AE43" s="136">
        <f t="shared" ref="AE43:AE45" si="53">IFERROR(IF(T43="Impacto",(P43-(+P43*W43)),IF(T43="Probabilidad",P43,"")),"")</f>
        <v>0.6</v>
      </c>
      <c r="AF43" s="137" t="str">
        <f t="shared" ref="AF43:AF45"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38" t="s">
        <v>122</v>
      </c>
      <c r="AH43" s="119" t="s">
        <v>254</v>
      </c>
      <c r="AI43" s="127" t="s">
        <v>203</v>
      </c>
      <c r="AJ43" s="143">
        <v>44562</v>
      </c>
      <c r="AK43" s="143">
        <v>44926</v>
      </c>
      <c r="AL43" s="119" t="s">
        <v>255</v>
      </c>
      <c r="AM43" s="140"/>
    </row>
    <row r="44" spans="1:39" s="163" customFormat="1" ht="151.5" customHeight="1" x14ac:dyDescent="0.35">
      <c r="A44" s="369"/>
      <c r="B44" s="371"/>
      <c r="C44" s="374"/>
      <c r="D44" s="375"/>
      <c r="E44" s="346"/>
      <c r="F44" s="346"/>
      <c r="G44" s="346"/>
      <c r="H44" s="341"/>
      <c r="I44" s="346"/>
      <c r="J44" s="348"/>
      <c r="K44" s="350"/>
      <c r="L44" s="353"/>
      <c r="M44" s="356"/>
      <c r="N44" s="142"/>
      <c r="O44" s="350"/>
      <c r="P44" s="353"/>
      <c r="Q44" s="343"/>
      <c r="R44" s="130">
        <v>2</v>
      </c>
      <c r="S44" s="98"/>
      <c r="T44" s="131" t="str">
        <f t="shared" si="47"/>
        <v/>
      </c>
      <c r="U44" s="132"/>
      <c r="V44" s="132"/>
      <c r="W44" s="133"/>
      <c r="X44" s="132"/>
      <c r="Y44" s="132"/>
      <c r="Z44" s="132"/>
      <c r="AA44" s="134" t="str">
        <f>IFERROR(IF(T44="Probabilidad",(AA43-(+AA43*W44)),IF(T44="Impacto",L44,"")),"")</f>
        <v/>
      </c>
      <c r="AB44" s="135" t="str">
        <f t="shared" si="50"/>
        <v/>
      </c>
      <c r="AC44" s="136" t="str">
        <f t="shared" si="51"/>
        <v/>
      </c>
      <c r="AD44" s="135" t="str">
        <f t="shared" si="52"/>
        <v/>
      </c>
      <c r="AE44" s="136" t="str">
        <f t="shared" si="53"/>
        <v/>
      </c>
      <c r="AF44" s="137" t="str">
        <f t="shared" si="54"/>
        <v/>
      </c>
      <c r="AG44" s="138"/>
      <c r="AH44" s="119"/>
      <c r="AI44" s="127"/>
      <c r="AJ44" s="143"/>
      <c r="AK44" s="143"/>
      <c r="AL44" s="119"/>
      <c r="AM44" s="140"/>
    </row>
    <row r="45" spans="1:39" s="163" customFormat="1" ht="151.5" customHeight="1" x14ac:dyDescent="0.35">
      <c r="A45" s="369"/>
      <c r="B45" s="372"/>
      <c r="C45" s="374"/>
      <c r="D45" s="375"/>
      <c r="E45" s="346"/>
      <c r="F45" s="346"/>
      <c r="G45" s="346"/>
      <c r="H45" s="341"/>
      <c r="I45" s="346"/>
      <c r="J45" s="348"/>
      <c r="K45" s="351"/>
      <c r="L45" s="354"/>
      <c r="M45" s="356"/>
      <c r="N45" s="142"/>
      <c r="O45" s="351"/>
      <c r="P45" s="354"/>
      <c r="Q45" s="344"/>
      <c r="R45" s="130">
        <v>3</v>
      </c>
      <c r="S45" s="98"/>
      <c r="T45" s="131" t="str">
        <f t="shared" si="47"/>
        <v/>
      </c>
      <c r="U45" s="132"/>
      <c r="V45" s="132"/>
      <c r="W45" s="133"/>
      <c r="X45" s="132"/>
      <c r="Y45" s="132"/>
      <c r="Z45" s="132"/>
      <c r="AA45" s="134" t="str">
        <f>IFERROR(IF(T45="Probabilidad",(AA44-(+AA44*W45)),IF(T45="Impacto",L45,"")),"")</f>
        <v/>
      </c>
      <c r="AB45" s="135" t="str">
        <f t="shared" si="50"/>
        <v/>
      </c>
      <c r="AC45" s="136" t="str">
        <f t="shared" si="51"/>
        <v/>
      </c>
      <c r="AD45" s="135" t="str">
        <f t="shared" si="52"/>
        <v/>
      </c>
      <c r="AE45" s="136" t="str">
        <f t="shared" si="53"/>
        <v/>
      </c>
      <c r="AF45" s="137" t="str">
        <f t="shared" si="54"/>
        <v/>
      </c>
      <c r="AG45" s="138"/>
      <c r="AH45" s="119"/>
      <c r="AI45" s="127"/>
      <c r="AJ45" s="143"/>
      <c r="AK45" s="143"/>
      <c r="AL45" s="119"/>
      <c r="AM45" s="140"/>
    </row>
    <row r="46" spans="1:39" s="163" customFormat="1" ht="151.5" customHeight="1" x14ac:dyDescent="0.35">
      <c r="A46" s="369">
        <v>15</v>
      </c>
      <c r="B46" s="401" t="s">
        <v>242</v>
      </c>
      <c r="C46" s="373" t="s">
        <v>385</v>
      </c>
      <c r="D46" s="373" t="s">
        <v>249</v>
      </c>
      <c r="E46" s="345" t="s">
        <v>118</v>
      </c>
      <c r="F46" s="345" t="s">
        <v>256</v>
      </c>
      <c r="G46" s="345" t="s">
        <v>257</v>
      </c>
      <c r="H46" s="340" t="s">
        <v>546</v>
      </c>
      <c r="I46" s="345" t="s">
        <v>115</v>
      </c>
      <c r="J46" s="399">
        <v>40</v>
      </c>
      <c r="K46" s="349" t="str">
        <f>IF(J46&lt;=0,"",IF(J46&lt;=2,"Muy Baja",IF(J46&lt;=24,"Baja",IF(J46&lt;=500,"Media",IF(J46&lt;=5000,"Alta","Muy Alta")))))</f>
        <v>Media</v>
      </c>
      <c r="L46" s="352">
        <f>IF(K46="","",IF(K46="Muy Baja",0.2,IF(K46="Baja",0.4,IF(K46="Media",0.6,IF(K46="Alta",0.8,IF(K46="Muy Alta",1,))))))</f>
        <v>0.6</v>
      </c>
      <c r="M46" s="355" t="s">
        <v>485</v>
      </c>
      <c r="N46" s="129"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49" t="str">
        <f>IF(OR(N46='Tabla Impacto'!$C$11,N46='Tabla Impacto'!$D$11),"Leve",IF(OR(N46='Tabla Impacto'!$C$12,N46='Tabla Impacto'!$D$12),"Menor",IF(OR(N46='Tabla Impacto'!$C$13,N46='Tabla Impacto'!$D$13),"Moderado",IF(OR(N46='Tabla Impacto'!$C$14,N46='Tabla Impacto'!$D$14),"Mayor",IF(OR(N46='Tabla Impacto'!$C$15,N46='Tabla Impacto'!$D$15),"Catastrófico","")))))</f>
        <v>Moderado</v>
      </c>
      <c r="P46" s="352">
        <f>IF(O46="","",IF(O46="Leve",0.2,IF(O46="Menor",0.4,IF(O46="Moderado",0.6,IF(O46="Mayor",0.8,IF(O46="Catastrófico",1,))))))</f>
        <v>0.6</v>
      </c>
      <c r="Q46" s="342"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30">
        <v>1</v>
      </c>
      <c r="S46" s="98" t="s">
        <v>547</v>
      </c>
      <c r="T46" s="131" t="str">
        <f t="shared" si="25"/>
        <v>Probabilidad</v>
      </c>
      <c r="U46" s="132" t="s">
        <v>14</v>
      </c>
      <c r="V46" s="132" t="s">
        <v>9</v>
      </c>
      <c r="W46" s="133" t="str">
        <f t="shared" si="26"/>
        <v>40%</v>
      </c>
      <c r="X46" s="132" t="s">
        <v>19</v>
      </c>
      <c r="Y46" s="132" t="s">
        <v>22</v>
      </c>
      <c r="Z46" s="132" t="s">
        <v>110</v>
      </c>
      <c r="AA46" s="134">
        <f t="shared" si="27"/>
        <v>0.36</v>
      </c>
      <c r="AB46" s="135" t="str">
        <f t="shared" si="28"/>
        <v>Baja</v>
      </c>
      <c r="AC46" s="136">
        <f t="shared" si="29"/>
        <v>0.36</v>
      </c>
      <c r="AD46" s="135" t="str">
        <f t="shared" si="30"/>
        <v>Moderado</v>
      </c>
      <c r="AE46" s="136">
        <f t="shared" si="31"/>
        <v>0.6</v>
      </c>
      <c r="AF46" s="137" t="str">
        <f t="shared" si="32"/>
        <v>Moderado</v>
      </c>
      <c r="AG46" s="138" t="s">
        <v>122</v>
      </c>
      <c r="AH46" s="126" t="s">
        <v>259</v>
      </c>
      <c r="AI46" s="127" t="s">
        <v>260</v>
      </c>
      <c r="AJ46" s="143">
        <v>44562</v>
      </c>
      <c r="AK46" s="143">
        <v>44926</v>
      </c>
      <c r="AL46" s="119" t="s">
        <v>255</v>
      </c>
      <c r="AM46" s="140"/>
    </row>
    <row r="47" spans="1:39" s="163" customFormat="1" ht="151.5" customHeight="1" x14ac:dyDescent="0.35">
      <c r="A47" s="369"/>
      <c r="B47" s="402"/>
      <c r="C47" s="374"/>
      <c r="D47" s="375"/>
      <c r="E47" s="346"/>
      <c r="F47" s="346"/>
      <c r="G47" s="346"/>
      <c r="H47" s="341"/>
      <c r="I47" s="346"/>
      <c r="J47" s="400"/>
      <c r="K47" s="350"/>
      <c r="L47" s="353"/>
      <c r="M47" s="356"/>
      <c r="N47" s="142"/>
      <c r="O47" s="350"/>
      <c r="P47" s="353"/>
      <c r="Q47" s="343"/>
      <c r="R47" s="130">
        <v>2</v>
      </c>
      <c r="S47" s="98"/>
      <c r="T47" s="131" t="str">
        <f t="shared" ref="T47:T48" si="55">IF(OR(U47="Preventivo",U47="Detectivo"),"Probabilidad",IF(U47="Correctivo","Impacto",""))</f>
        <v/>
      </c>
      <c r="U47" s="132"/>
      <c r="V47" s="132"/>
      <c r="W47" s="133"/>
      <c r="X47" s="132"/>
      <c r="Y47" s="132"/>
      <c r="Z47" s="132"/>
      <c r="AA47" s="134" t="str">
        <f>IFERROR(IF(T47="Probabilidad",(AA46-(+AA46*W47)),IF(T47="Impacto",L47,"")),"")</f>
        <v/>
      </c>
      <c r="AB47" s="135" t="str">
        <f t="shared" ref="AB47:AB48" si="56">IFERROR(IF(AA47="","",IF(AA47&lt;=0.2,"Muy Baja",IF(AA47&lt;=0.4,"Baja",IF(AA47&lt;=0.6,"Media",IF(AA47&lt;=0.8,"Alta","Muy Alta"))))),"")</f>
        <v/>
      </c>
      <c r="AC47" s="136" t="str">
        <f t="shared" ref="AC47:AC48" si="57">+AA47</f>
        <v/>
      </c>
      <c r="AD47" s="135" t="str">
        <f t="shared" ref="AD47:AD48" si="58">IFERROR(IF(AE47="","",IF(AE47&lt;=0.2,"Leve",IF(AE47&lt;=0.4,"Menor",IF(AE47&lt;=0.6,"Moderado",IF(AE47&lt;=0.8,"Mayor","Catastrófico"))))),"")</f>
        <v/>
      </c>
      <c r="AE47" s="136" t="str">
        <f t="shared" ref="AE47:AE48" si="59">IFERROR(IF(T47="Impacto",(P47-(+P47*W47)),IF(T47="Probabilidad",P47,"")),"")</f>
        <v/>
      </c>
      <c r="AF47" s="137"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38"/>
      <c r="AH47" s="119"/>
      <c r="AI47" s="127"/>
      <c r="AJ47" s="143"/>
      <c r="AK47" s="143"/>
      <c r="AL47" s="119"/>
      <c r="AM47" s="140"/>
    </row>
    <row r="48" spans="1:39" s="163" customFormat="1" ht="151.5" customHeight="1" x14ac:dyDescent="0.35">
      <c r="A48" s="369"/>
      <c r="B48" s="403"/>
      <c r="C48" s="374"/>
      <c r="D48" s="375"/>
      <c r="E48" s="346"/>
      <c r="F48" s="346"/>
      <c r="G48" s="346"/>
      <c r="H48" s="341"/>
      <c r="I48" s="346"/>
      <c r="J48" s="400"/>
      <c r="K48" s="351"/>
      <c r="L48" s="354"/>
      <c r="M48" s="356"/>
      <c r="N48" s="142"/>
      <c r="O48" s="351"/>
      <c r="P48" s="354"/>
      <c r="Q48" s="344"/>
      <c r="R48" s="130">
        <v>3</v>
      </c>
      <c r="S48" s="98"/>
      <c r="T48" s="131" t="str">
        <f t="shared" si="55"/>
        <v/>
      </c>
      <c r="U48" s="132"/>
      <c r="V48" s="132"/>
      <c r="W48" s="133"/>
      <c r="X48" s="132"/>
      <c r="Y48" s="132"/>
      <c r="Z48" s="132"/>
      <c r="AA48" s="134" t="str">
        <f>IFERROR(IF(T48="Probabilidad",(AA47-(+AA47*W48)),IF(T48="Impacto",L48,"")),"")</f>
        <v/>
      </c>
      <c r="AB48" s="135" t="str">
        <f t="shared" si="56"/>
        <v/>
      </c>
      <c r="AC48" s="136" t="str">
        <f t="shared" si="57"/>
        <v/>
      </c>
      <c r="AD48" s="135" t="str">
        <f t="shared" si="58"/>
        <v/>
      </c>
      <c r="AE48" s="136" t="str">
        <f t="shared" si="59"/>
        <v/>
      </c>
      <c r="AF48" s="137" t="str">
        <f t="shared" si="60"/>
        <v/>
      </c>
      <c r="AG48" s="138"/>
      <c r="AH48" s="119"/>
      <c r="AI48" s="127"/>
      <c r="AJ48" s="143"/>
      <c r="AK48" s="143"/>
      <c r="AL48" s="119"/>
      <c r="AM48" s="140"/>
    </row>
    <row r="49" spans="1:39" s="163" customFormat="1" ht="151.5" customHeight="1" x14ac:dyDescent="0.35">
      <c r="A49" s="369">
        <v>16</v>
      </c>
      <c r="B49" s="370" t="s">
        <v>242</v>
      </c>
      <c r="C49" s="373" t="s">
        <v>385</v>
      </c>
      <c r="D49" s="373" t="s">
        <v>249</v>
      </c>
      <c r="E49" s="345" t="s">
        <v>120</v>
      </c>
      <c r="F49" s="345" t="s">
        <v>442</v>
      </c>
      <c r="G49" s="345" t="s">
        <v>262</v>
      </c>
      <c r="H49" s="340" t="s">
        <v>261</v>
      </c>
      <c r="I49" s="345" t="s">
        <v>328</v>
      </c>
      <c r="J49" s="347" t="s">
        <v>258</v>
      </c>
      <c r="K49" s="349" t="str">
        <f>IF(J49&lt;=0,"",IF(J49&lt;=2,"Muy Baja",IF(J49&lt;=24,"Baja",IF(J49&lt;=500,"Media",IF(J49&lt;=5000,"Alta","Muy Alta")))))</f>
        <v>Muy Alta</v>
      </c>
      <c r="L49" s="352">
        <f>IF(K49="","",IF(K49="Muy Baja",0.2,IF(K49="Baja",0.4,IF(K49="Media",0.6,IF(K49="Alta",0.8,IF(K49="Muy Alta",1,))))))</f>
        <v>1</v>
      </c>
      <c r="M49" s="355" t="s">
        <v>492</v>
      </c>
      <c r="N49" s="129" t="str">
        <f>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49" t="str">
        <f>IF(OR(N49='Tabla Impacto'!$C$11,N49='Tabla Impacto'!$D$11),"Leve",IF(OR(N49='Tabla Impacto'!$C$12,N49='Tabla Impacto'!$D$12),"Menor",IF(OR(N49='Tabla Impacto'!$C$13,N49='Tabla Impacto'!$D$13),"Moderado",IF(OR(N49='Tabla Impacto'!$C$14,N49='Tabla Impacto'!$D$14),"Mayor",IF(OR(N49='Tabla Impacto'!$C$15,N49='Tabla Impacto'!$D$15),"Catastrófico","")))))</f>
        <v>Mayor</v>
      </c>
      <c r="P49" s="352">
        <f>IF(O49="","",IF(O49="Leve",0.2,IF(O49="Menor",0.4,IF(O49="Moderado",0.6,IF(O49="Mayor",0.8,IF(O49="Catastrófico",1,))))))</f>
        <v>0.8</v>
      </c>
      <c r="Q49" s="342"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30">
        <v>1</v>
      </c>
      <c r="S49" s="98" t="s">
        <v>263</v>
      </c>
      <c r="T49" s="131" t="str">
        <f t="shared" ref="T49:T51" si="61">IF(OR(U49="Preventivo",U49="Detectivo"),"Probabilidad",IF(U49="Correctivo","Impacto",""))</f>
        <v>Probabilidad</v>
      </c>
      <c r="U49" s="132" t="s">
        <v>14</v>
      </c>
      <c r="V49" s="132" t="s">
        <v>9</v>
      </c>
      <c r="W49" s="133" t="str">
        <f t="shared" ref="W49" si="62">IF(AND(U49="Preventivo",V49="Automático"),"50%",IF(AND(U49="Preventivo",V49="Manual"),"40%",IF(AND(U49="Detectivo",V49="Automático"),"40%",IF(AND(U49="Detectivo",V49="Manual"),"30%",IF(AND(U49="Correctivo",V49="Automático"),"35%",IF(AND(U49="Correctivo",V49="Manual"),"25%",""))))))</f>
        <v>40%</v>
      </c>
      <c r="X49" s="132" t="s">
        <v>19</v>
      </c>
      <c r="Y49" s="132" t="s">
        <v>22</v>
      </c>
      <c r="Z49" s="132" t="s">
        <v>110</v>
      </c>
      <c r="AA49" s="134">
        <f t="shared" ref="AA49" si="63">IFERROR(IF(T49="Probabilidad",(L49-(+L49*W49)),IF(T49="Impacto",L49,"")),"")</f>
        <v>0.6</v>
      </c>
      <c r="AB49" s="135" t="str">
        <f t="shared" ref="AB49:AB51" si="64">IFERROR(IF(AA49="","",IF(AA49&lt;=0.2,"Muy Baja",IF(AA49&lt;=0.4,"Baja",IF(AA49&lt;=0.6,"Media",IF(AA49&lt;=0.8,"Alta","Muy Alta"))))),"")</f>
        <v>Media</v>
      </c>
      <c r="AC49" s="136">
        <f t="shared" ref="AC49:AC51" si="65">+AA49</f>
        <v>0.6</v>
      </c>
      <c r="AD49" s="135" t="str">
        <f t="shared" ref="AD49:AD51" si="66">IFERROR(IF(AE49="","",IF(AE49&lt;=0.2,"Leve",IF(AE49&lt;=0.4,"Menor",IF(AE49&lt;=0.6,"Moderado",IF(AE49&lt;=0.8,"Mayor","Catastrófico"))))),"")</f>
        <v>Mayor</v>
      </c>
      <c r="AE49" s="136">
        <f t="shared" ref="AE49:AE51" si="67">IFERROR(IF(T49="Impacto",(P49-(+P49*W49)),IF(T49="Probabilidad",P49,"")),"")</f>
        <v>0.8</v>
      </c>
      <c r="AF49" s="137" t="str">
        <f t="shared" ref="AF49:AF5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38" t="s">
        <v>122</v>
      </c>
      <c r="AH49" s="119" t="s">
        <v>518</v>
      </c>
      <c r="AI49" s="127" t="s">
        <v>203</v>
      </c>
      <c r="AJ49" s="143">
        <v>44562</v>
      </c>
      <c r="AK49" s="143">
        <v>44926</v>
      </c>
      <c r="AL49" s="126" t="s">
        <v>264</v>
      </c>
      <c r="AM49" s="140"/>
    </row>
    <row r="50" spans="1:39" s="163" customFormat="1" ht="151.5" customHeight="1" x14ac:dyDescent="0.35">
      <c r="A50" s="369"/>
      <c r="B50" s="371"/>
      <c r="C50" s="374"/>
      <c r="D50" s="375"/>
      <c r="E50" s="346"/>
      <c r="F50" s="346"/>
      <c r="G50" s="346"/>
      <c r="H50" s="341"/>
      <c r="I50" s="346"/>
      <c r="J50" s="348"/>
      <c r="K50" s="350"/>
      <c r="L50" s="353"/>
      <c r="M50" s="356"/>
      <c r="N50" s="142"/>
      <c r="O50" s="350"/>
      <c r="P50" s="353"/>
      <c r="Q50" s="343"/>
      <c r="R50" s="130">
        <v>2</v>
      </c>
      <c r="S50" s="98"/>
      <c r="T50" s="131" t="str">
        <f t="shared" si="61"/>
        <v/>
      </c>
      <c r="U50" s="132"/>
      <c r="V50" s="132"/>
      <c r="W50" s="133"/>
      <c r="X50" s="132"/>
      <c r="Y50" s="132"/>
      <c r="Z50" s="132"/>
      <c r="AA50" s="134" t="str">
        <f>IFERROR(IF(T50="Probabilidad",(AA49-(+AA49*W50)),IF(T50="Impacto",L50,"")),"")</f>
        <v/>
      </c>
      <c r="AB50" s="135" t="str">
        <f t="shared" si="64"/>
        <v/>
      </c>
      <c r="AC50" s="136" t="str">
        <f t="shared" si="65"/>
        <v/>
      </c>
      <c r="AD50" s="135" t="str">
        <f t="shared" si="66"/>
        <v/>
      </c>
      <c r="AE50" s="136" t="str">
        <f t="shared" si="67"/>
        <v/>
      </c>
      <c r="AF50" s="137" t="str">
        <f t="shared" si="68"/>
        <v/>
      </c>
      <c r="AG50" s="138"/>
      <c r="AH50" s="119"/>
      <c r="AI50" s="127"/>
      <c r="AJ50" s="143"/>
      <c r="AK50" s="143"/>
      <c r="AL50" s="119"/>
      <c r="AM50" s="140"/>
    </row>
    <row r="51" spans="1:39" s="163" customFormat="1" ht="151.5" customHeight="1" x14ac:dyDescent="0.35">
      <c r="A51" s="393"/>
      <c r="B51" s="372"/>
      <c r="C51" s="374"/>
      <c r="D51" s="375"/>
      <c r="E51" s="346"/>
      <c r="F51" s="346"/>
      <c r="G51" s="346"/>
      <c r="H51" s="341"/>
      <c r="I51" s="346"/>
      <c r="J51" s="348"/>
      <c r="K51" s="351"/>
      <c r="L51" s="354"/>
      <c r="M51" s="356"/>
      <c r="N51" s="142"/>
      <c r="O51" s="351"/>
      <c r="P51" s="354"/>
      <c r="Q51" s="344"/>
      <c r="R51" s="130">
        <v>3</v>
      </c>
      <c r="S51" s="98"/>
      <c r="T51" s="131" t="str">
        <f t="shared" si="61"/>
        <v/>
      </c>
      <c r="U51" s="132"/>
      <c r="V51" s="132"/>
      <c r="W51" s="133"/>
      <c r="X51" s="132"/>
      <c r="Y51" s="132"/>
      <c r="Z51" s="132"/>
      <c r="AA51" s="134" t="str">
        <f>IFERROR(IF(T51="Probabilidad",(AA50-(+AA50*W51)),IF(T51="Impacto",L51,"")),"")</f>
        <v/>
      </c>
      <c r="AB51" s="135" t="str">
        <f t="shared" si="64"/>
        <v/>
      </c>
      <c r="AC51" s="136" t="str">
        <f t="shared" si="65"/>
        <v/>
      </c>
      <c r="AD51" s="135" t="str">
        <f t="shared" si="66"/>
        <v/>
      </c>
      <c r="AE51" s="136" t="str">
        <f t="shared" si="67"/>
        <v/>
      </c>
      <c r="AF51" s="137" t="str">
        <f t="shared" si="68"/>
        <v/>
      </c>
      <c r="AG51" s="138"/>
      <c r="AH51" s="119"/>
      <c r="AI51" s="127"/>
      <c r="AJ51" s="143"/>
      <c r="AK51" s="143"/>
      <c r="AL51" s="119"/>
      <c r="AM51" s="140"/>
    </row>
    <row r="52" spans="1:39" s="163" customFormat="1" ht="151.5" customHeight="1" x14ac:dyDescent="0.35">
      <c r="A52" s="368">
        <v>17</v>
      </c>
      <c r="B52" s="370" t="s">
        <v>242</v>
      </c>
      <c r="C52" s="373" t="s">
        <v>385</v>
      </c>
      <c r="D52" s="373" t="s">
        <v>249</v>
      </c>
      <c r="E52" s="345" t="s">
        <v>120</v>
      </c>
      <c r="F52" s="345" t="s">
        <v>443</v>
      </c>
      <c r="G52" s="345" t="s">
        <v>266</v>
      </c>
      <c r="H52" s="340" t="s">
        <v>265</v>
      </c>
      <c r="I52" s="345" t="s">
        <v>328</v>
      </c>
      <c r="J52" s="347">
        <v>60</v>
      </c>
      <c r="K52" s="349" t="str">
        <f>IF(J52&lt;=0,"",IF(J52&lt;=2,"Muy Baja",IF(J52&lt;=24,"Baja",IF(J52&lt;=500,"Media",IF(J52&lt;=5000,"Alta","Muy Alta")))))</f>
        <v>Media</v>
      </c>
      <c r="L52" s="352">
        <f>IF(K52="","",IF(K52="Muy Baja",0.2,IF(K52="Baja",0.4,IF(K52="Media",0.6,IF(K52="Alta",0.8,IF(K52="Muy Alta",1,))))))</f>
        <v>0.6</v>
      </c>
      <c r="M52" s="355" t="s">
        <v>485</v>
      </c>
      <c r="N52" s="129"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49" t="str">
        <f>IF(OR(N52='Tabla Impacto'!$C$11,N52='Tabla Impacto'!$D$11),"Leve",IF(OR(N52='Tabla Impacto'!$C$12,N52='Tabla Impacto'!$D$12),"Menor",IF(OR(N52='Tabla Impacto'!$C$13,N52='Tabla Impacto'!$D$13),"Moderado",IF(OR(N52='Tabla Impacto'!$C$14,N52='Tabla Impacto'!$D$14),"Mayor",IF(OR(N52='Tabla Impacto'!$C$15,N52='Tabla Impacto'!$D$15),"Catastrófico","")))))</f>
        <v>Moderado</v>
      </c>
      <c r="P52" s="352">
        <f>IF(O52="","",IF(O52="Leve",0.2,IF(O52="Menor",0.4,IF(O52="Moderado",0.6,IF(O52="Mayor",0.8,IF(O52="Catastrófico",1,))))))</f>
        <v>0.6</v>
      </c>
      <c r="Q52" s="342"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30">
        <v>1</v>
      </c>
      <c r="S52" s="98" t="s">
        <v>267</v>
      </c>
      <c r="T52" s="131" t="str">
        <f t="shared" si="25"/>
        <v>Probabilidad</v>
      </c>
      <c r="U52" s="132" t="s">
        <v>15</v>
      </c>
      <c r="V52" s="132" t="s">
        <v>9</v>
      </c>
      <c r="W52" s="133" t="str">
        <f t="shared" si="26"/>
        <v>30%</v>
      </c>
      <c r="X52" s="132" t="s">
        <v>19</v>
      </c>
      <c r="Y52" s="132" t="s">
        <v>22</v>
      </c>
      <c r="Z52" s="132" t="s">
        <v>110</v>
      </c>
      <c r="AA52" s="134">
        <f t="shared" si="27"/>
        <v>0.42</v>
      </c>
      <c r="AB52" s="135" t="str">
        <f t="shared" si="28"/>
        <v>Media</v>
      </c>
      <c r="AC52" s="136">
        <f t="shared" si="29"/>
        <v>0.42</v>
      </c>
      <c r="AD52" s="135" t="str">
        <f t="shared" si="30"/>
        <v>Moderado</v>
      </c>
      <c r="AE52" s="136">
        <f t="shared" si="31"/>
        <v>0.6</v>
      </c>
      <c r="AF52" s="137" t="str">
        <f t="shared" si="32"/>
        <v>Moderado</v>
      </c>
      <c r="AG52" s="138" t="s">
        <v>122</v>
      </c>
      <c r="AH52" s="119" t="s">
        <v>269</v>
      </c>
      <c r="AI52" s="144" t="s">
        <v>270</v>
      </c>
      <c r="AJ52" s="143">
        <v>44562</v>
      </c>
      <c r="AK52" s="143">
        <v>44926</v>
      </c>
      <c r="AL52" s="119" t="s">
        <v>271</v>
      </c>
      <c r="AM52" s="140"/>
    </row>
    <row r="53" spans="1:39" s="163" customFormat="1" ht="151.5" customHeight="1" x14ac:dyDescent="0.35">
      <c r="A53" s="369"/>
      <c r="B53" s="371"/>
      <c r="C53" s="374"/>
      <c r="D53" s="375"/>
      <c r="E53" s="346"/>
      <c r="F53" s="346"/>
      <c r="G53" s="346"/>
      <c r="H53" s="341"/>
      <c r="I53" s="346"/>
      <c r="J53" s="348"/>
      <c r="K53" s="350"/>
      <c r="L53" s="353"/>
      <c r="M53" s="356"/>
      <c r="N53" s="142"/>
      <c r="O53" s="350"/>
      <c r="P53" s="353"/>
      <c r="Q53" s="343"/>
      <c r="R53" s="130">
        <v>2</v>
      </c>
      <c r="S53" s="98" t="s">
        <v>268</v>
      </c>
      <c r="T53" s="131" t="str">
        <f t="shared" ref="T53:T54" si="69">IF(OR(U53="Preventivo",U53="Detectivo"),"Probabilidad",IF(U53="Correctivo","Impacto",""))</f>
        <v>Probabilidad</v>
      </c>
      <c r="U53" s="132" t="s">
        <v>15</v>
      </c>
      <c r="V53" s="132" t="s">
        <v>9</v>
      </c>
      <c r="W53" s="133" t="str">
        <f t="shared" ref="W53" si="70">IF(AND(U53="Preventivo",V53="Automático"),"50%",IF(AND(U53="Preventivo",V53="Manual"),"40%",IF(AND(U53="Detectivo",V53="Automático"),"40%",IF(AND(U53="Detectivo",V53="Manual"),"30%",IF(AND(U53="Correctivo",V53="Automático"),"35%",IF(AND(U53="Correctivo",V53="Manual"),"25%",""))))))</f>
        <v>30%</v>
      </c>
      <c r="X53" s="132" t="s">
        <v>19</v>
      </c>
      <c r="Y53" s="132" t="s">
        <v>22</v>
      </c>
      <c r="Z53" s="132" t="s">
        <v>110</v>
      </c>
      <c r="AA53" s="134">
        <f>IFERROR(IF(T53="Probabilidad",(AA52-(+AA52*W53)),IF(T53="Impacto",L53,"")),"")</f>
        <v>0.29399999999999998</v>
      </c>
      <c r="AB53" s="135" t="str">
        <f t="shared" ref="AB53:AB54" si="71">IFERROR(IF(AA53="","",IF(AA53&lt;=0.2,"Muy Baja",IF(AA53&lt;=0.4,"Baja",IF(AA53&lt;=0.6,"Media",IF(AA53&lt;=0.8,"Alta","Muy Alta"))))),"")</f>
        <v>Baja</v>
      </c>
      <c r="AC53" s="136">
        <f t="shared" ref="AC53:AC54" si="72">+AA53</f>
        <v>0.29399999999999998</v>
      </c>
      <c r="AD53" s="135" t="str">
        <f t="shared" ref="AD53:AD54" si="73">IFERROR(IF(AE53="","",IF(AE53&lt;=0.2,"Leve",IF(AE53&lt;=0.4,"Menor",IF(AE53&lt;=0.6,"Moderado",IF(AE53&lt;=0.8,"Mayor","Catastrófico"))))),"")</f>
        <v>Moderado</v>
      </c>
      <c r="AE53" s="136">
        <v>0.6</v>
      </c>
      <c r="AF53" s="137"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38" t="s">
        <v>122</v>
      </c>
      <c r="AH53" s="119" t="s">
        <v>269</v>
      </c>
      <c r="AI53" s="144" t="s">
        <v>270</v>
      </c>
      <c r="AJ53" s="143">
        <v>44562</v>
      </c>
      <c r="AK53" s="143">
        <v>44926</v>
      </c>
      <c r="AL53" s="119" t="s">
        <v>271</v>
      </c>
      <c r="AM53" s="140"/>
    </row>
    <row r="54" spans="1:39" s="163" customFormat="1" ht="151.5" customHeight="1" x14ac:dyDescent="0.35">
      <c r="A54" s="369"/>
      <c r="B54" s="372"/>
      <c r="C54" s="374"/>
      <c r="D54" s="375"/>
      <c r="E54" s="346"/>
      <c r="F54" s="346"/>
      <c r="G54" s="346"/>
      <c r="H54" s="341"/>
      <c r="I54" s="346"/>
      <c r="J54" s="348"/>
      <c r="K54" s="351"/>
      <c r="L54" s="354"/>
      <c r="M54" s="356"/>
      <c r="N54" s="142"/>
      <c r="O54" s="351"/>
      <c r="P54" s="354"/>
      <c r="Q54" s="344"/>
      <c r="R54" s="130">
        <v>3</v>
      </c>
      <c r="S54" s="98"/>
      <c r="T54" s="131" t="str">
        <f t="shared" si="69"/>
        <v/>
      </c>
      <c r="U54" s="132"/>
      <c r="V54" s="132"/>
      <c r="W54" s="133"/>
      <c r="X54" s="132"/>
      <c r="Y54" s="132"/>
      <c r="Z54" s="132"/>
      <c r="AA54" s="134" t="str">
        <f>IFERROR(IF(T54="Probabilidad",(AA53-(+AA53*W54)),IF(T54="Impacto",L54,"")),"")</f>
        <v/>
      </c>
      <c r="AB54" s="135" t="str">
        <f t="shared" si="71"/>
        <v/>
      </c>
      <c r="AC54" s="136" t="str">
        <f t="shared" si="72"/>
        <v/>
      </c>
      <c r="AD54" s="135" t="str">
        <f t="shared" si="73"/>
        <v/>
      </c>
      <c r="AE54" s="136" t="str">
        <f t="shared" ref="AE54" si="75">IFERROR(IF(T54="Impacto",(P54-(+P54*W54)),IF(T54="Probabilidad",P54,"")),"")</f>
        <v/>
      </c>
      <c r="AF54" s="137" t="str">
        <f t="shared" si="74"/>
        <v/>
      </c>
      <c r="AG54" s="138"/>
      <c r="AH54" s="119"/>
      <c r="AI54" s="127"/>
      <c r="AJ54" s="143"/>
      <c r="AK54" s="143"/>
      <c r="AL54" s="119"/>
      <c r="AM54" s="140"/>
    </row>
    <row r="55" spans="1:39" s="163" customFormat="1" ht="151.5" customHeight="1" x14ac:dyDescent="0.35">
      <c r="A55" s="369">
        <v>18</v>
      </c>
      <c r="B55" s="370" t="s">
        <v>272</v>
      </c>
      <c r="C55" s="373" t="s">
        <v>273</v>
      </c>
      <c r="D55" s="373" t="s">
        <v>387</v>
      </c>
      <c r="E55" s="345" t="s">
        <v>120</v>
      </c>
      <c r="F55" s="345" t="s">
        <v>274</v>
      </c>
      <c r="G55" s="345" t="s">
        <v>275</v>
      </c>
      <c r="H55" s="340" t="s">
        <v>444</v>
      </c>
      <c r="I55" s="345" t="s">
        <v>117</v>
      </c>
      <c r="J55" s="347">
        <v>360</v>
      </c>
      <c r="K55" s="349" t="str">
        <f>IF(J55&lt;=0,"",IF(J55&lt;=2,"Muy Baja",IF(J55&lt;=24,"Baja",IF(J55&lt;=500,"Media",IF(J55&lt;=5000,"Alta","Muy Alta")))))</f>
        <v>Media</v>
      </c>
      <c r="L55" s="352">
        <f>IF(K55="","",IF(K55="Muy Baja",0.2,IF(K55="Baja",0.4,IF(K55="Media",0.6,IF(K55="Alta",0.8,IF(K55="Muy Alta",1,))))))</f>
        <v>0.6</v>
      </c>
      <c r="M55" s="355" t="s">
        <v>485</v>
      </c>
      <c r="N55" s="129"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49" t="str">
        <f>IF(OR(N55='Tabla Impacto'!$C$11,N55='Tabla Impacto'!$D$11),"Leve",IF(OR(N55='Tabla Impacto'!$C$12,N55='Tabla Impacto'!$D$12),"Menor",IF(OR(N55='Tabla Impacto'!$C$13,N55='Tabla Impacto'!$D$13),"Moderado",IF(OR(N55='Tabla Impacto'!$C$14,N55='Tabla Impacto'!$D$14),"Mayor",IF(OR(N55='Tabla Impacto'!$C$15,N55='Tabla Impacto'!$D$15),"Catastrófico","")))))</f>
        <v>Moderado</v>
      </c>
      <c r="P55" s="352">
        <f>IF(O55="","",IF(O55="Leve",0.2,IF(O55="Menor",0.4,IF(O55="Moderado",0.6,IF(O55="Mayor",0.8,IF(O55="Catastrófico",1,))))))</f>
        <v>0.6</v>
      </c>
      <c r="Q55" s="342"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30">
        <v>1</v>
      </c>
      <c r="S55" s="98" t="s">
        <v>276</v>
      </c>
      <c r="T55" s="131" t="str">
        <f t="shared" si="25"/>
        <v>Probabilidad</v>
      </c>
      <c r="U55" s="132" t="s">
        <v>15</v>
      </c>
      <c r="V55" s="132" t="s">
        <v>9</v>
      </c>
      <c r="W55" s="133" t="str">
        <f t="shared" si="26"/>
        <v>30%</v>
      </c>
      <c r="X55" s="132" t="s">
        <v>20</v>
      </c>
      <c r="Y55" s="132" t="s">
        <v>22</v>
      </c>
      <c r="Z55" s="132" t="s">
        <v>110</v>
      </c>
      <c r="AA55" s="134">
        <f t="shared" si="27"/>
        <v>0.42</v>
      </c>
      <c r="AB55" s="135" t="str">
        <f t="shared" si="28"/>
        <v>Media</v>
      </c>
      <c r="AC55" s="136">
        <f t="shared" si="29"/>
        <v>0.42</v>
      </c>
      <c r="AD55" s="135" t="str">
        <f t="shared" si="30"/>
        <v>Moderado</v>
      </c>
      <c r="AE55" s="136">
        <f t="shared" si="31"/>
        <v>0.6</v>
      </c>
      <c r="AF55" s="137" t="str">
        <f t="shared" si="32"/>
        <v>Moderado</v>
      </c>
      <c r="AG55" s="138" t="s">
        <v>122</v>
      </c>
      <c r="AH55" s="119" t="s">
        <v>386</v>
      </c>
      <c r="AI55" s="127" t="s">
        <v>198</v>
      </c>
      <c r="AJ55" s="143">
        <v>44562</v>
      </c>
      <c r="AK55" s="143">
        <v>44926</v>
      </c>
      <c r="AL55" s="119" t="s">
        <v>277</v>
      </c>
      <c r="AM55" s="140"/>
    </row>
    <row r="56" spans="1:39" s="163" customFormat="1" ht="151.5" customHeight="1" x14ac:dyDescent="0.35">
      <c r="A56" s="369"/>
      <c r="B56" s="371"/>
      <c r="C56" s="375"/>
      <c r="D56" s="374"/>
      <c r="E56" s="346"/>
      <c r="F56" s="346"/>
      <c r="G56" s="346"/>
      <c r="H56" s="341"/>
      <c r="I56" s="346"/>
      <c r="J56" s="348"/>
      <c r="K56" s="350"/>
      <c r="L56" s="353"/>
      <c r="M56" s="356"/>
      <c r="N56" s="142"/>
      <c r="O56" s="350"/>
      <c r="P56" s="353"/>
      <c r="Q56" s="343"/>
      <c r="R56" s="130">
        <v>2</v>
      </c>
      <c r="S56" s="98"/>
      <c r="T56" s="131" t="str">
        <f t="shared" ref="T56:T57" si="76">IF(OR(U56="Preventivo",U56="Detectivo"),"Probabilidad",IF(U56="Correctivo","Impacto",""))</f>
        <v/>
      </c>
      <c r="U56" s="132"/>
      <c r="V56" s="132"/>
      <c r="W56" s="133"/>
      <c r="X56" s="132"/>
      <c r="Y56" s="132"/>
      <c r="Z56" s="132"/>
      <c r="AA56" s="134" t="str">
        <f>IFERROR(IF(T56="Probabilidad",(AA55-(+AA55*W56)),IF(T56="Impacto",L56,"")),"")</f>
        <v/>
      </c>
      <c r="AB56" s="135" t="str">
        <f t="shared" ref="AB56:AB57" si="77">IFERROR(IF(AA56="","",IF(AA56&lt;=0.2,"Muy Baja",IF(AA56&lt;=0.4,"Baja",IF(AA56&lt;=0.6,"Media",IF(AA56&lt;=0.8,"Alta","Muy Alta"))))),"")</f>
        <v/>
      </c>
      <c r="AC56" s="136" t="str">
        <f t="shared" ref="AC56:AC57" si="78">+AA56</f>
        <v/>
      </c>
      <c r="AD56" s="135" t="str">
        <f t="shared" ref="AD56:AD57" si="79">IFERROR(IF(AE56="","",IF(AE56&lt;=0.2,"Leve",IF(AE56&lt;=0.4,"Menor",IF(AE56&lt;=0.6,"Moderado",IF(AE56&lt;=0.8,"Mayor","Catastrófico"))))),"")</f>
        <v/>
      </c>
      <c r="AE56" s="136" t="str">
        <f t="shared" ref="AE56:AE57" si="80">IFERROR(IF(T56="Impacto",(P56-(+P56*W56)),IF(T56="Probabilidad",P56,"")),"")</f>
        <v/>
      </c>
      <c r="AF56" s="137"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38"/>
      <c r="AH56" s="119"/>
      <c r="AI56" s="127"/>
      <c r="AJ56" s="143"/>
      <c r="AK56" s="143"/>
      <c r="AL56" s="119"/>
      <c r="AM56" s="140"/>
    </row>
    <row r="57" spans="1:39" s="163" customFormat="1" ht="151.5" customHeight="1" x14ac:dyDescent="0.35">
      <c r="A57" s="369"/>
      <c r="B57" s="372"/>
      <c r="C57" s="375"/>
      <c r="D57" s="374"/>
      <c r="E57" s="346"/>
      <c r="F57" s="346"/>
      <c r="G57" s="346"/>
      <c r="H57" s="341"/>
      <c r="I57" s="346"/>
      <c r="J57" s="348"/>
      <c r="K57" s="351"/>
      <c r="L57" s="354"/>
      <c r="M57" s="408"/>
      <c r="N57" s="142"/>
      <c r="O57" s="351"/>
      <c r="P57" s="354"/>
      <c r="Q57" s="344"/>
      <c r="R57" s="130">
        <v>3</v>
      </c>
      <c r="S57" s="98"/>
      <c r="T57" s="131" t="str">
        <f t="shared" si="76"/>
        <v/>
      </c>
      <c r="U57" s="132"/>
      <c r="V57" s="132"/>
      <c r="W57" s="133"/>
      <c r="X57" s="132"/>
      <c r="Y57" s="132"/>
      <c r="Z57" s="132"/>
      <c r="AA57" s="134" t="str">
        <f>IFERROR(IF(T57="Probabilidad",(AA56-(+AA56*W57)),IF(T57="Impacto",L57,"")),"")</f>
        <v/>
      </c>
      <c r="AB57" s="135" t="str">
        <f t="shared" si="77"/>
        <v/>
      </c>
      <c r="AC57" s="136" t="str">
        <f t="shared" si="78"/>
        <v/>
      </c>
      <c r="AD57" s="135" t="str">
        <f t="shared" si="79"/>
        <v/>
      </c>
      <c r="AE57" s="136" t="str">
        <f t="shared" si="80"/>
        <v/>
      </c>
      <c r="AF57" s="137" t="str">
        <f t="shared" si="81"/>
        <v/>
      </c>
      <c r="AG57" s="138"/>
      <c r="AH57" s="119"/>
      <c r="AI57" s="127"/>
      <c r="AJ57" s="143"/>
      <c r="AK57" s="143"/>
      <c r="AL57" s="119"/>
      <c r="AM57" s="140"/>
    </row>
    <row r="58" spans="1:39" s="163" customFormat="1" ht="151.5" customHeight="1" x14ac:dyDescent="0.35">
      <c r="A58" s="369">
        <v>19</v>
      </c>
      <c r="B58" s="370" t="s">
        <v>272</v>
      </c>
      <c r="C58" s="373" t="s">
        <v>273</v>
      </c>
      <c r="D58" s="373" t="s">
        <v>387</v>
      </c>
      <c r="E58" s="345" t="s">
        <v>120</v>
      </c>
      <c r="F58" s="398" t="s">
        <v>278</v>
      </c>
      <c r="G58" s="345" t="s">
        <v>279</v>
      </c>
      <c r="H58" s="340" t="s">
        <v>573</v>
      </c>
      <c r="I58" s="345" t="s">
        <v>115</v>
      </c>
      <c r="J58" s="347">
        <v>246</v>
      </c>
      <c r="K58" s="349" t="str">
        <f>IF(J58&lt;=0,"",IF(J58&lt;=2,"Muy Baja",IF(J58&lt;=24,"Baja",IF(J58&lt;=500,"Media",IF(J58&lt;=5000,"Alta","Muy Alta")))))</f>
        <v>Media</v>
      </c>
      <c r="L58" s="352">
        <f>IF(K58="","",IF(K58="Muy Baja",0.2,IF(K58="Baja",0.4,IF(K58="Media",0.6,IF(K58="Alta",0.8,IF(K58="Muy Alta",1,))))))</f>
        <v>0.6</v>
      </c>
      <c r="M58" s="355" t="s">
        <v>492</v>
      </c>
      <c r="N58" s="129" t="str">
        <f>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49" t="str">
        <f>IF(OR(N58='Tabla Impacto'!$C$11,N58='Tabla Impacto'!$D$11),"Leve",IF(OR(N58='Tabla Impacto'!$C$12,N58='Tabla Impacto'!$D$12),"Menor",IF(OR(N58='Tabla Impacto'!$C$13,N58='Tabla Impacto'!$D$13),"Moderado",IF(OR(N58='Tabla Impacto'!$C$14,N58='Tabla Impacto'!$D$14),"Mayor",IF(OR(N58='Tabla Impacto'!$C$15,N58='Tabla Impacto'!$D$15),"Catastrófico","")))))</f>
        <v>Mayor</v>
      </c>
      <c r="P58" s="352">
        <f>IF(O58="","",IF(O58="Leve",0.2,IF(O58="Menor",0.4,IF(O58="Moderado",0.6,IF(O58="Mayor",0.8,IF(O58="Catastrófico",1,))))))</f>
        <v>0.8</v>
      </c>
      <c r="Q58" s="342"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30">
        <v>1</v>
      </c>
      <c r="S58" s="98" t="s">
        <v>543</v>
      </c>
      <c r="T58" s="131" t="str">
        <f t="shared" si="25"/>
        <v>Probabilidad</v>
      </c>
      <c r="U58" s="132" t="s">
        <v>14</v>
      </c>
      <c r="V58" s="132" t="s">
        <v>9</v>
      </c>
      <c r="W58" s="133" t="str">
        <f t="shared" si="26"/>
        <v>40%</v>
      </c>
      <c r="X58" s="132" t="s">
        <v>20</v>
      </c>
      <c r="Y58" s="132" t="s">
        <v>22</v>
      </c>
      <c r="Z58" s="132" t="s">
        <v>110</v>
      </c>
      <c r="AA58" s="134">
        <f t="shared" si="27"/>
        <v>0.36</v>
      </c>
      <c r="AB58" s="135" t="str">
        <f t="shared" si="28"/>
        <v>Baja</v>
      </c>
      <c r="AC58" s="136">
        <f t="shared" si="29"/>
        <v>0.36</v>
      </c>
      <c r="AD58" s="135" t="str">
        <f t="shared" si="30"/>
        <v>Mayor</v>
      </c>
      <c r="AE58" s="136">
        <f t="shared" si="31"/>
        <v>0.8</v>
      </c>
      <c r="AF58" s="137" t="str">
        <f t="shared" si="32"/>
        <v>Alto</v>
      </c>
      <c r="AG58" s="138" t="s">
        <v>122</v>
      </c>
      <c r="AH58" s="126" t="s">
        <v>372</v>
      </c>
      <c r="AI58" s="121" t="s">
        <v>212</v>
      </c>
      <c r="AJ58" s="155">
        <v>44562</v>
      </c>
      <c r="AK58" s="156" t="s">
        <v>373</v>
      </c>
      <c r="AL58" s="119" t="s">
        <v>280</v>
      </c>
      <c r="AM58" s="140"/>
    </row>
    <row r="59" spans="1:39" s="163" customFormat="1" ht="151.5" customHeight="1" x14ac:dyDescent="0.35">
      <c r="A59" s="369"/>
      <c r="B59" s="371"/>
      <c r="C59" s="375"/>
      <c r="D59" s="374"/>
      <c r="E59" s="346"/>
      <c r="F59" s="346"/>
      <c r="G59" s="346"/>
      <c r="H59" s="341"/>
      <c r="I59" s="346"/>
      <c r="J59" s="348"/>
      <c r="K59" s="350"/>
      <c r="L59" s="353"/>
      <c r="M59" s="356"/>
      <c r="N59" s="142"/>
      <c r="O59" s="350"/>
      <c r="P59" s="353"/>
      <c r="Q59" s="343"/>
      <c r="R59" s="130">
        <v>2</v>
      </c>
      <c r="S59" s="98"/>
      <c r="T59" s="131" t="str">
        <f t="shared" ref="T59:T60" si="82">IF(OR(U59="Preventivo",U59="Detectivo"),"Probabilidad",IF(U59="Correctivo","Impacto",""))</f>
        <v/>
      </c>
      <c r="U59" s="132"/>
      <c r="V59" s="132"/>
      <c r="W59" s="133"/>
      <c r="X59" s="132"/>
      <c r="Y59" s="132"/>
      <c r="Z59" s="132"/>
      <c r="AA59" s="134" t="str">
        <f>IFERROR(IF(T59="Probabilidad",(AA58-(+AA58*W59)),IF(T59="Impacto",L59,"")),"")</f>
        <v/>
      </c>
      <c r="AB59" s="135" t="str">
        <f t="shared" ref="AB59:AB60" si="83">IFERROR(IF(AA59="","",IF(AA59&lt;=0.2,"Muy Baja",IF(AA59&lt;=0.4,"Baja",IF(AA59&lt;=0.6,"Media",IF(AA59&lt;=0.8,"Alta","Muy Alta"))))),"")</f>
        <v/>
      </c>
      <c r="AC59" s="136" t="str">
        <f t="shared" ref="AC59:AC60" si="84">+AA59</f>
        <v/>
      </c>
      <c r="AD59" s="135" t="str">
        <f t="shared" ref="AD59:AD60" si="85">IFERROR(IF(AE59="","",IF(AE59&lt;=0.2,"Leve",IF(AE59&lt;=0.4,"Menor",IF(AE59&lt;=0.6,"Moderado",IF(AE59&lt;=0.8,"Mayor","Catastrófico"))))),"")</f>
        <v/>
      </c>
      <c r="AE59" s="136" t="str">
        <f t="shared" ref="AE59:AE60" si="86">IFERROR(IF(T59="Impacto",(P59-(+P59*W59)),IF(T59="Probabilidad",P59,"")),"")</f>
        <v/>
      </c>
      <c r="AF59" s="137"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8"/>
      <c r="AH59" s="119"/>
      <c r="AI59" s="127"/>
      <c r="AJ59" s="143"/>
      <c r="AK59" s="143"/>
      <c r="AL59" s="119"/>
      <c r="AM59" s="140"/>
    </row>
    <row r="60" spans="1:39" s="163" customFormat="1" ht="151.5" customHeight="1" x14ac:dyDescent="0.35">
      <c r="A60" s="369"/>
      <c r="B60" s="372"/>
      <c r="C60" s="375"/>
      <c r="D60" s="374"/>
      <c r="E60" s="346"/>
      <c r="F60" s="346"/>
      <c r="G60" s="346"/>
      <c r="H60" s="341"/>
      <c r="I60" s="346"/>
      <c r="J60" s="348"/>
      <c r="K60" s="351"/>
      <c r="L60" s="354"/>
      <c r="M60" s="356"/>
      <c r="N60" s="142"/>
      <c r="O60" s="351"/>
      <c r="P60" s="354"/>
      <c r="Q60" s="344"/>
      <c r="R60" s="130">
        <v>3</v>
      </c>
      <c r="S60" s="98"/>
      <c r="T60" s="131" t="str">
        <f t="shared" si="82"/>
        <v/>
      </c>
      <c r="U60" s="132"/>
      <c r="V60" s="132"/>
      <c r="W60" s="133"/>
      <c r="X60" s="132"/>
      <c r="Y60" s="132"/>
      <c r="Z60" s="132"/>
      <c r="AA60" s="134" t="str">
        <f>IFERROR(IF(T60="Probabilidad",(AA59-(+AA59*W60)),IF(T60="Impacto",L60,"")),"")</f>
        <v/>
      </c>
      <c r="AB60" s="135" t="str">
        <f t="shared" si="83"/>
        <v/>
      </c>
      <c r="AC60" s="136" t="str">
        <f t="shared" si="84"/>
        <v/>
      </c>
      <c r="AD60" s="135" t="str">
        <f t="shared" si="85"/>
        <v/>
      </c>
      <c r="AE60" s="136" t="str">
        <f t="shared" si="86"/>
        <v/>
      </c>
      <c r="AF60" s="137" t="str">
        <f t="shared" si="87"/>
        <v/>
      </c>
      <c r="AG60" s="138"/>
      <c r="AH60" s="119"/>
      <c r="AI60" s="127"/>
      <c r="AJ60" s="143"/>
      <c r="AK60" s="143"/>
      <c r="AL60" s="119"/>
      <c r="AM60" s="140"/>
    </row>
    <row r="61" spans="1:39" s="163" customFormat="1" ht="151.5" customHeight="1" x14ac:dyDescent="0.35">
      <c r="A61" s="369">
        <v>20</v>
      </c>
      <c r="B61" s="370" t="s">
        <v>281</v>
      </c>
      <c r="C61" s="373" t="s">
        <v>356</v>
      </c>
      <c r="D61" s="373" t="s">
        <v>388</v>
      </c>
      <c r="E61" s="345" t="s">
        <v>120</v>
      </c>
      <c r="F61" s="398" t="s">
        <v>526</v>
      </c>
      <c r="G61" s="398" t="s">
        <v>527</v>
      </c>
      <c r="H61" s="340" t="s">
        <v>525</v>
      </c>
      <c r="I61" s="345" t="s">
        <v>330</v>
      </c>
      <c r="J61" s="347">
        <v>4</v>
      </c>
      <c r="K61" s="349" t="str">
        <f>IF(J61&lt;=0,"",IF(J61&lt;=2,"Muy Baja",IF(J61&lt;=24,"Baja",IF(J61&lt;=500,"Media",IF(J61&lt;=5000,"Alta","Muy Alta")))))</f>
        <v>Baja</v>
      </c>
      <c r="L61" s="352">
        <f>IF(K61="","",IF(K61="Muy Baja",0.2,IF(K61="Baja",0.4,IF(K61="Media",0.6,IF(K61="Alta",0.8,IF(K61="Muy Alta",1,))))))</f>
        <v>0.4</v>
      </c>
      <c r="M61" s="355" t="s">
        <v>481</v>
      </c>
      <c r="N61" s="129" t="str">
        <f>IF(NOT(ISERROR(MATCH(M61,'Tabla Impacto'!$B$221:$B$223,0))),'Tabla Impacto'!$F$223&amp;"Por favor no seleccionar los criterios de impacto(Afectación Económica o presupuestal y Pérdida Reputacional)",M61)</f>
        <v xml:space="preserve"> Afectación menor a 10 SMLMV .</v>
      </c>
      <c r="O61" s="349" t="str">
        <f>IF(OR(N61='Tabla Impacto'!$C$11,N61='Tabla Impacto'!$D$11),"Leve",IF(OR(N61='Tabla Impacto'!$C$12,N61='Tabla Impacto'!$D$12),"Menor",IF(OR(N61='Tabla Impacto'!$C$13,N61='Tabla Impacto'!$D$13),"Moderado",IF(OR(N61='Tabla Impacto'!$C$14,N61='Tabla Impacto'!$D$14),"Mayor",IF(OR(N61='Tabla Impacto'!$C$15,N61='Tabla Impacto'!$D$15),"Catastrófico","")))))</f>
        <v>Leve</v>
      </c>
      <c r="P61" s="352">
        <f>IF(O61="","",IF(O61="Leve",0.2,IF(O61="Menor",0.4,IF(O61="Moderado",0.6,IF(O61="Mayor",0.8,IF(O61="Catastrófico",1,))))))</f>
        <v>0.2</v>
      </c>
      <c r="Q61" s="342"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30">
        <v>1</v>
      </c>
      <c r="S61" s="98" t="s">
        <v>528</v>
      </c>
      <c r="T61" s="131" t="str">
        <f t="shared" si="25"/>
        <v>Probabilidad</v>
      </c>
      <c r="U61" s="132" t="s">
        <v>14</v>
      </c>
      <c r="V61" s="132" t="s">
        <v>9</v>
      </c>
      <c r="W61" s="133" t="str">
        <f t="shared" si="26"/>
        <v>40%</v>
      </c>
      <c r="X61" s="132" t="s">
        <v>19</v>
      </c>
      <c r="Y61" s="132" t="s">
        <v>22</v>
      </c>
      <c r="Z61" s="132" t="s">
        <v>110</v>
      </c>
      <c r="AA61" s="134">
        <f t="shared" si="27"/>
        <v>0.24</v>
      </c>
      <c r="AB61" s="135" t="str">
        <f t="shared" si="28"/>
        <v>Baja</v>
      </c>
      <c r="AC61" s="136">
        <f t="shared" si="29"/>
        <v>0.24</v>
      </c>
      <c r="AD61" s="135" t="str">
        <f t="shared" si="30"/>
        <v>Leve</v>
      </c>
      <c r="AE61" s="136">
        <f t="shared" si="31"/>
        <v>0.2</v>
      </c>
      <c r="AF61" s="137" t="str">
        <f t="shared" si="32"/>
        <v>Bajo</v>
      </c>
      <c r="AG61" s="138" t="s">
        <v>122</v>
      </c>
      <c r="AH61" s="119" t="s">
        <v>529</v>
      </c>
      <c r="AI61" s="127" t="s">
        <v>212</v>
      </c>
      <c r="AJ61" s="143" t="s">
        <v>286</v>
      </c>
      <c r="AK61" s="143" t="s">
        <v>287</v>
      </c>
      <c r="AL61" s="157" t="s">
        <v>538</v>
      </c>
      <c r="AM61" s="140"/>
    </row>
    <row r="62" spans="1:39" s="163" customFormat="1" ht="151.5" customHeight="1" x14ac:dyDescent="0.35">
      <c r="A62" s="369"/>
      <c r="B62" s="371"/>
      <c r="C62" s="374"/>
      <c r="D62" s="374"/>
      <c r="E62" s="346"/>
      <c r="F62" s="346"/>
      <c r="G62" s="346"/>
      <c r="H62" s="341"/>
      <c r="I62" s="346"/>
      <c r="J62" s="348"/>
      <c r="K62" s="350"/>
      <c r="L62" s="353"/>
      <c r="M62" s="356"/>
      <c r="N62" s="142"/>
      <c r="O62" s="350"/>
      <c r="P62" s="353"/>
      <c r="Q62" s="343"/>
      <c r="R62" s="130">
        <v>2</v>
      </c>
      <c r="S62" s="98"/>
      <c r="T62" s="131"/>
      <c r="U62" s="132"/>
      <c r="V62" s="132"/>
      <c r="W62" s="133"/>
      <c r="X62" s="132"/>
      <c r="Y62" s="132"/>
      <c r="Z62" s="132"/>
      <c r="AA62" s="134"/>
      <c r="AB62" s="135"/>
      <c r="AC62" s="136"/>
      <c r="AD62" s="135"/>
      <c r="AE62" s="136"/>
      <c r="AF62" s="137"/>
      <c r="AG62" s="138"/>
      <c r="AH62" s="119"/>
      <c r="AI62" s="127"/>
      <c r="AJ62" s="143"/>
      <c r="AK62" s="143"/>
      <c r="AL62" s="157"/>
      <c r="AM62" s="140"/>
    </row>
    <row r="63" spans="1:39" s="163" customFormat="1" ht="151.5" customHeight="1" x14ac:dyDescent="0.35">
      <c r="A63" s="369"/>
      <c r="B63" s="372"/>
      <c r="C63" s="374"/>
      <c r="D63" s="374"/>
      <c r="E63" s="346"/>
      <c r="F63" s="346"/>
      <c r="G63" s="346"/>
      <c r="H63" s="341"/>
      <c r="I63" s="346"/>
      <c r="J63" s="348"/>
      <c r="K63" s="351"/>
      <c r="L63" s="354"/>
      <c r="M63" s="356"/>
      <c r="N63" s="142"/>
      <c r="O63" s="351"/>
      <c r="P63" s="354"/>
      <c r="Q63" s="344"/>
      <c r="R63" s="130">
        <v>3</v>
      </c>
      <c r="S63" s="98"/>
      <c r="T63" s="131" t="str">
        <f t="shared" ref="T63" si="88">IF(OR(U63="Preventivo",U63="Detectivo"),"Probabilidad",IF(U63="Correctivo","Impacto",""))</f>
        <v/>
      </c>
      <c r="U63" s="132"/>
      <c r="V63" s="132"/>
      <c r="W63" s="133"/>
      <c r="X63" s="132"/>
      <c r="Y63" s="132"/>
      <c r="Z63" s="132"/>
      <c r="AA63" s="134"/>
      <c r="AB63" s="135"/>
      <c r="AC63" s="136"/>
      <c r="AD63" s="135"/>
      <c r="AE63" s="136"/>
      <c r="AF63" s="137"/>
      <c r="AG63" s="138"/>
      <c r="AH63" s="119"/>
      <c r="AI63" s="127"/>
      <c r="AJ63" s="143"/>
      <c r="AK63" s="143"/>
      <c r="AL63" s="119"/>
      <c r="AM63" s="140"/>
    </row>
    <row r="64" spans="1:39" s="163" customFormat="1" ht="151.5" customHeight="1" x14ac:dyDescent="0.35">
      <c r="A64" s="369">
        <v>21</v>
      </c>
      <c r="B64" s="370" t="s">
        <v>281</v>
      </c>
      <c r="C64" s="373" t="s">
        <v>356</v>
      </c>
      <c r="D64" s="373" t="s">
        <v>388</v>
      </c>
      <c r="E64" s="345" t="s">
        <v>118</v>
      </c>
      <c r="F64" s="345" t="s">
        <v>445</v>
      </c>
      <c r="G64" s="345" t="s">
        <v>284</v>
      </c>
      <c r="H64" s="340" t="s">
        <v>283</v>
      </c>
      <c r="I64" s="345" t="s">
        <v>328</v>
      </c>
      <c r="J64" s="347">
        <v>12</v>
      </c>
      <c r="K64" s="349" t="str">
        <f>IF(J64&lt;=0,"",IF(J64&lt;=2,"Muy Baja",IF(J64&lt;=24,"Baja",IF(J64&lt;=500,"Media",IF(J64&lt;=5000,"Alta","Muy Alta")))))</f>
        <v>Baja</v>
      </c>
      <c r="L64" s="352">
        <f>IF(K64="","",IF(K64="Muy Baja",0.2,IF(K64="Baja",0.4,IF(K64="Media",0.6,IF(K64="Alta",0.8,IF(K64="Muy Alta",1,))))))</f>
        <v>0.4</v>
      </c>
      <c r="M64" s="355" t="s">
        <v>490</v>
      </c>
      <c r="N64" s="129" t="str">
        <f>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49" t="str">
        <f>IF(OR(N64='Tabla Impacto'!$C$11,N64='Tabla Impacto'!$D$11),"Leve",IF(OR(N64='Tabla Impacto'!$C$12,N64='Tabla Impacto'!$D$12),"Menor",IF(OR(N64='Tabla Impacto'!$C$13,N64='Tabla Impacto'!$D$13),"Moderado",IF(OR(N64='Tabla Impacto'!$C$14,N64='Tabla Impacto'!$D$14),"Mayor",IF(OR(N64='Tabla Impacto'!$C$15,N64='Tabla Impacto'!$D$15),"Catastrófico","")))))</f>
        <v>Menor</v>
      </c>
      <c r="P64" s="352">
        <f>IF(O64="","",IF(O64="Leve",0.2,IF(O64="Menor",0.4,IF(O64="Moderado",0.6,IF(O64="Mayor",0.8,IF(O64="Catastrófico",1,))))))</f>
        <v>0.4</v>
      </c>
      <c r="Q64" s="342"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30">
        <v>1</v>
      </c>
      <c r="S64" s="119" t="s">
        <v>530</v>
      </c>
      <c r="T64" s="131" t="str">
        <f t="shared" si="25"/>
        <v>Probabilidad</v>
      </c>
      <c r="U64" s="132" t="s">
        <v>15</v>
      </c>
      <c r="V64" s="132" t="s">
        <v>9</v>
      </c>
      <c r="W64" s="133" t="str">
        <f t="shared" si="26"/>
        <v>30%</v>
      </c>
      <c r="X64" s="132" t="s">
        <v>19</v>
      </c>
      <c r="Y64" s="132" t="s">
        <v>22</v>
      </c>
      <c r="Z64" s="132" t="s">
        <v>110</v>
      </c>
      <c r="AA64" s="134">
        <f t="shared" si="27"/>
        <v>0.28000000000000003</v>
      </c>
      <c r="AB64" s="135" t="str">
        <f t="shared" si="28"/>
        <v>Baja</v>
      </c>
      <c r="AC64" s="136">
        <f t="shared" si="29"/>
        <v>0.28000000000000003</v>
      </c>
      <c r="AD64" s="135" t="str">
        <f t="shared" si="30"/>
        <v>Menor</v>
      </c>
      <c r="AE64" s="136">
        <f t="shared" si="31"/>
        <v>0.4</v>
      </c>
      <c r="AF64" s="137" t="str">
        <f t="shared" si="32"/>
        <v>Moderado</v>
      </c>
      <c r="AG64" s="138" t="s">
        <v>122</v>
      </c>
      <c r="AH64" s="119" t="s">
        <v>531</v>
      </c>
      <c r="AI64" s="127" t="s">
        <v>260</v>
      </c>
      <c r="AJ64" s="143" t="s">
        <v>286</v>
      </c>
      <c r="AK64" s="143" t="s">
        <v>287</v>
      </c>
      <c r="AL64" s="119" t="s">
        <v>532</v>
      </c>
      <c r="AM64" s="140"/>
    </row>
    <row r="65" spans="1:39" s="163" customFormat="1" ht="151.5" customHeight="1" x14ac:dyDescent="0.35">
      <c r="A65" s="369"/>
      <c r="B65" s="371"/>
      <c r="C65" s="374"/>
      <c r="D65" s="374"/>
      <c r="E65" s="346"/>
      <c r="F65" s="346"/>
      <c r="G65" s="346"/>
      <c r="H65" s="341"/>
      <c r="I65" s="346"/>
      <c r="J65" s="348"/>
      <c r="K65" s="350"/>
      <c r="L65" s="353"/>
      <c r="M65" s="356"/>
      <c r="N65" s="142"/>
      <c r="O65" s="350"/>
      <c r="P65" s="353"/>
      <c r="Q65" s="343"/>
      <c r="R65" s="130">
        <v>2</v>
      </c>
      <c r="S65" s="119"/>
      <c r="T65" s="131"/>
      <c r="U65" s="132"/>
      <c r="V65" s="132"/>
      <c r="W65" s="133"/>
      <c r="X65" s="132"/>
      <c r="Y65" s="132"/>
      <c r="Z65" s="132"/>
      <c r="AA65" s="134"/>
      <c r="AB65" s="135"/>
      <c r="AC65" s="136"/>
      <c r="AD65" s="135"/>
      <c r="AE65" s="136"/>
      <c r="AF65" s="137"/>
      <c r="AG65" s="138"/>
      <c r="AH65" s="119"/>
      <c r="AI65" s="127"/>
      <c r="AJ65" s="143"/>
      <c r="AK65" s="143"/>
      <c r="AL65" s="119"/>
      <c r="AM65" s="140"/>
    </row>
    <row r="66" spans="1:39" s="163" customFormat="1" ht="151.5" customHeight="1" x14ac:dyDescent="0.35">
      <c r="A66" s="369"/>
      <c r="B66" s="372"/>
      <c r="C66" s="374"/>
      <c r="D66" s="374"/>
      <c r="E66" s="346"/>
      <c r="F66" s="346"/>
      <c r="G66" s="346"/>
      <c r="H66" s="341"/>
      <c r="I66" s="346"/>
      <c r="J66" s="348"/>
      <c r="K66" s="351"/>
      <c r="L66" s="354"/>
      <c r="M66" s="356"/>
      <c r="N66" s="142"/>
      <c r="O66" s="351"/>
      <c r="P66" s="354"/>
      <c r="Q66" s="344"/>
      <c r="R66" s="130">
        <v>3</v>
      </c>
      <c r="S66" s="119"/>
      <c r="T66" s="131"/>
      <c r="U66" s="132"/>
      <c r="V66" s="132"/>
      <c r="W66" s="133"/>
      <c r="X66" s="132"/>
      <c r="Y66" s="132"/>
      <c r="Z66" s="132"/>
      <c r="AA66" s="134"/>
      <c r="AB66" s="135"/>
      <c r="AC66" s="136"/>
      <c r="AD66" s="135"/>
      <c r="AE66" s="136"/>
      <c r="AF66" s="137"/>
      <c r="AG66" s="138"/>
      <c r="AH66" s="119"/>
      <c r="AI66" s="127"/>
      <c r="AJ66" s="143"/>
      <c r="AK66" s="143"/>
      <c r="AL66" s="119"/>
      <c r="AM66" s="140"/>
    </row>
    <row r="67" spans="1:39" s="220" customFormat="1" ht="151.5" customHeight="1" x14ac:dyDescent="0.35">
      <c r="A67" s="334">
        <v>22</v>
      </c>
      <c r="B67" s="335" t="s">
        <v>281</v>
      </c>
      <c r="C67" s="338" t="s">
        <v>356</v>
      </c>
      <c r="D67" s="338" t="s">
        <v>388</v>
      </c>
      <c r="E67" s="340" t="s">
        <v>120</v>
      </c>
      <c r="F67" s="340" t="s">
        <v>534</v>
      </c>
      <c r="G67" s="340" t="s">
        <v>365</v>
      </c>
      <c r="H67" s="340" t="s">
        <v>533</v>
      </c>
      <c r="I67" s="340" t="s">
        <v>115</v>
      </c>
      <c r="J67" s="321">
        <v>20</v>
      </c>
      <c r="K67" s="323" t="str">
        <f>IF(J67&lt;=0,"",IF(J67&lt;=2,"Muy Baja",IF(J67&lt;=24,"Baja",IF(J67&lt;=500,"Media",IF(J67&lt;=5000,"Alta","Muy Alta")))))</f>
        <v>Baja</v>
      </c>
      <c r="L67" s="326">
        <f>IF(K67="","",IF(K67="Muy Baja",0.2,IF(K67="Baja",0.4,IF(K67="Media",0.6,IF(K67="Alta",0.8,IF(K67="Muy Alta",1,))))))</f>
        <v>0.4</v>
      </c>
      <c r="M67" s="329" t="s">
        <v>485</v>
      </c>
      <c r="N67" s="205" t="str">
        <f>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323" t="str">
        <f>IF(OR(N67='Tabla Impacto'!$C$11,N67='Tabla Impacto'!$D$11),"Leve",IF(OR(N67='Tabla Impacto'!$C$12,N67='Tabla Impacto'!$D$12),"Menor",IF(OR(N67='Tabla Impacto'!$C$13,N67='Tabla Impacto'!$D$13),"Moderado",IF(OR(N67='Tabla Impacto'!$C$14,N67='Tabla Impacto'!$D$14),"Mayor",IF(OR(N67='Tabla Impacto'!$C$15,N67='Tabla Impacto'!$D$15),"Catastrófico","")))))</f>
        <v>Moderado</v>
      </c>
      <c r="P67" s="326">
        <f>IF(O67="","",IF(O67="Leve",0.2,IF(O67="Menor",0.4,IF(O67="Moderado",0.6,IF(O67="Mayor",0.8,IF(O67="Catastrófico",1,))))))</f>
        <v>0.6</v>
      </c>
      <c r="Q67" s="331"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207">
        <v>1</v>
      </c>
      <c r="S67" s="126" t="s">
        <v>535</v>
      </c>
      <c r="T67" s="208" t="str">
        <f t="shared" ref="T67:T73" si="89">IF(OR(U67="Preventivo",U67="Detectivo"),"Probabilidad",IF(U67="Correctivo","Impacto",""))</f>
        <v>Probabilidad</v>
      </c>
      <c r="U67" s="209" t="s">
        <v>15</v>
      </c>
      <c r="V67" s="209" t="s">
        <v>9</v>
      </c>
      <c r="W67" s="210" t="str">
        <f t="shared" ref="W67:W73" si="90">IF(AND(U67="Preventivo",V67="Automático"),"50%",IF(AND(U67="Preventivo",V67="Manual"),"40%",IF(AND(U67="Detectivo",V67="Automático"),"40%",IF(AND(U67="Detectivo",V67="Manual"),"30%",IF(AND(U67="Correctivo",V67="Automático"),"35%",IF(AND(U67="Correctivo",V67="Manual"),"25%",""))))))</f>
        <v>30%</v>
      </c>
      <c r="X67" s="209" t="s">
        <v>19</v>
      </c>
      <c r="Y67" s="209" t="s">
        <v>22</v>
      </c>
      <c r="Z67" s="209" t="s">
        <v>110</v>
      </c>
      <c r="AA67" s="160">
        <f t="shared" ref="AA67" si="91">IFERROR(IF(T67="Probabilidad",(L67-(+L67*W67)),IF(T67="Impacto",L67,"")),"")</f>
        <v>0.28000000000000003</v>
      </c>
      <c r="AB67" s="211" t="str">
        <f t="shared" ref="AB67:AB73" si="92">IFERROR(IF(AA67="","",IF(AA67&lt;=0.2,"Muy Baja",IF(AA67&lt;=0.4,"Baja",IF(AA67&lt;=0.6,"Media",IF(AA67&lt;=0.8,"Alta","Muy Alta"))))),"")</f>
        <v>Baja</v>
      </c>
      <c r="AC67" s="212">
        <f t="shared" ref="AC67:AC73" si="93">+AA67</f>
        <v>0.28000000000000003</v>
      </c>
      <c r="AD67" s="211" t="str">
        <f t="shared" ref="AD67:AD73" si="94">IFERROR(IF(AE67="","",IF(AE67&lt;=0.2,"Leve",IF(AE67&lt;=0.4,"Menor",IF(AE67&lt;=0.6,"Moderado",IF(AE67&lt;=0.8,"Mayor","Catastrófico"))))),"")</f>
        <v>Moderado</v>
      </c>
      <c r="AE67" s="212">
        <f t="shared" ref="AE67" si="95">IFERROR(IF(T67="Impacto",(P67-(+P67*W67)),IF(T67="Probabilidad",P67,"")),"")</f>
        <v>0.6</v>
      </c>
      <c r="AF67" s="213" t="str">
        <f t="shared" ref="AF67:AF73"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214" t="s">
        <v>122</v>
      </c>
      <c r="AH67" s="126" t="s">
        <v>536</v>
      </c>
      <c r="AI67" s="121" t="s">
        <v>212</v>
      </c>
      <c r="AJ67" s="128" t="s">
        <v>286</v>
      </c>
      <c r="AK67" s="128" t="s">
        <v>287</v>
      </c>
      <c r="AL67" s="126" t="s">
        <v>537</v>
      </c>
      <c r="AM67" s="204"/>
    </row>
    <row r="68" spans="1:39" s="220" customFormat="1" ht="151.5" customHeight="1" x14ac:dyDescent="0.35">
      <c r="A68" s="334"/>
      <c r="B68" s="336"/>
      <c r="C68" s="339"/>
      <c r="D68" s="339"/>
      <c r="E68" s="341"/>
      <c r="F68" s="341"/>
      <c r="G68" s="341"/>
      <c r="H68" s="341"/>
      <c r="I68" s="341"/>
      <c r="J68" s="322"/>
      <c r="K68" s="324"/>
      <c r="L68" s="327"/>
      <c r="M68" s="330"/>
      <c r="N68" s="206"/>
      <c r="O68" s="324"/>
      <c r="P68" s="327"/>
      <c r="Q68" s="332"/>
      <c r="R68" s="207">
        <v>2</v>
      </c>
      <c r="S68" s="201"/>
      <c r="T68" s="193"/>
      <c r="U68" s="194"/>
      <c r="V68" s="194"/>
      <c r="W68" s="195"/>
      <c r="X68" s="194"/>
      <c r="Y68" s="194"/>
      <c r="Z68" s="194"/>
      <c r="AA68" s="196"/>
      <c r="AB68" s="197"/>
      <c r="AC68" s="198"/>
      <c r="AD68" s="197"/>
      <c r="AE68" s="198"/>
      <c r="AF68" s="199"/>
      <c r="AG68" s="200"/>
      <c r="AH68" s="201"/>
      <c r="AI68" s="202"/>
      <c r="AJ68" s="203"/>
      <c r="AK68" s="203"/>
      <c r="AL68" s="201"/>
      <c r="AM68" s="204"/>
    </row>
    <row r="69" spans="1:39" s="220" customFormat="1" ht="151.5" customHeight="1" x14ac:dyDescent="0.35">
      <c r="A69" s="334"/>
      <c r="B69" s="337"/>
      <c r="C69" s="339"/>
      <c r="D69" s="339"/>
      <c r="E69" s="341"/>
      <c r="F69" s="341"/>
      <c r="G69" s="341"/>
      <c r="H69" s="341"/>
      <c r="I69" s="341"/>
      <c r="J69" s="322"/>
      <c r="K69" s="325"/>
      <c r="L69" s="328"/>
      <c r="M69" s="330"/>
      <c r="N69" s="206"/>
      <c r="O69" s="325"/>
      <c r="P69" s="328"/>
      <c r="Q69" s="333"/>
      <c r="R69" s="207">
        <v>3</v>
      </c>
      <c r="S69" s="201"/>
      <c r="T69" s="193"/>
      <c r="U69" s="194"/>
      <c r="V69" s="194"/>
      <c r="W69" s="195"/>
      <c r="X69" s="194"/>
      <c r="Y69" s="194"/>
      <c r="Z69" s="194"/>
      <c r="AA69" s="196"/>
      <c r="AB69" s="197"/>
      <c r="AC69" s="198"/>
      <c r="AD69" s="197"/>
      <c r="AE69" s="198"/>
      <c r="AF69" s="199"/>
      <c r="AG69" s="200"/>
      <c r="AH69" s="201"/>
      <c r="AI69" s="202"/>
      <c r="AJ69" s="203"/>
      <c r="AK69" s="203"/>
      <c r="AL69" s="201"/>
      <c r="AM69" s="204"/>
    </row>
    <row r="70" spans="1:39" s="163" customFormat="1" ht="151.5" customHeight="1" x14ac:dyDescent="0.35">
      <c r="A70" s="369">
        <v>23</v>
      </c>
      <c r="B70" s="370" t="s">
        <v>285</v>
      </c>
      <c r="C70" s="373" t="s">
        <v>389</v>
      </c>
      <c r="D70" s="373" t="s">
        <v>390</v>
      </c>
      <c r="E70" s="345" t="s">
        <v>118</v>
      </c>
      <c r="F70" s="345" t="s">
        <v>331</v>
      </c>
      <c r="G70" s="345" t="s">
        <v>446</v>
      </c>
      <c r="H70" s="340" t="s">
        <v>558</v>
      </c>
      <c r="I70" s="345" t="s">
        <v>115</v>
      </c>
      <c r="J70" s="347">
        <v>30</v>
      </c>
      <c r="K70" s="349" t="str">
        <f>IF(J70&lt;=0,"",IF(J70&lt;=2,"Muy Baja",IF(J70&lt;=24,"Baja",IF(J70&lt;=500,"Media",IF(J70&lt;=5000,"Alta","Muy Alta")))))</f>
        <v>Media</v>
      </c>
      <c r="L70" s="352">
        <f>IF(K70="","",IF(K70="Muy Baja",0.2,IF(K70="Baja",0.4,IF(K70="Media",0.6,IF(K70="Alta",0.8,IF(K70="Muy Alta",1,))))))</f>
        <v>0.6</v>
      </c>
      <c r="M70" s="355" t="s">
        <v>492</v>
      </c>
      <c r="N70" s="129" t="str">
        <f>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49" t="str">
        <f>IF(OR(N70='Tabla Impacto'!$C$11,N70='Tabla Impacto'!$D$11),"Leve",IF(OR(N70='Tabla Impacto'!$C$12,N70='Tabla Impacto'!$D$12),"Menor",IF(OR(N70='Tabla Impacto'!$C$13,N70='Tabla Impacto'!$D$13),"Moderado",IF(OR(N70='Tabla Impacto'!$C$14,N70='Tabla Impacto'!$D$14),"Mayor",IF(OR(N70='Tabla Impacto'!$C$15,N70='Tabla Impacto'!$D$15),"Catastrófico","")))))</f>
        <v>Mayor</v>
      </c>
      <c r="P70" s="352">
        <f>IF(O70="","",IF(O70="Leve",0.2,IF(O70="Menor",0.4,IF(O70="Moderado",0.6,IF(O70="Mayor",0.8,IF(O70="Catastrófico",1,))))))</f>
        <v>0.8</v>
      </c>
      <c r="Q70" s="342"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30">
        <v>1</v>
      </c>
      <c r="S70" s="119" t="s">
        <v>579</v>
      </c>
      <c r="T70" s="158" t="str">
        <f t="shared" si="89"/>
        <v>Probabilidad</v>
      </c>
      <c r="U70" s="146" t="s">
        <v>14</v>
      </c>
      <c r="V70" s="132" t="s">
        <v>9</v>
      </c>
      <c r="W70" s="133" t="str">
        <f t="shared" si="90"/>
        <v>40%</v>
      </c>
      <c r="X70" s="132" t="s">
        <v>19</v>
      </c>
      <c r="Y70" s="132" t="s">
        <v>22</v>
      </c>
      <c r="Z70" s="132" t="s">
        <v>110</v>
      </c>
      <c r="AA70" s="134">
        <f t="shared" ref="AA70:AA73" si="97">IFERROR(IF(T70="Probabilidad",(L70-(+L70*W70)),IF(T70="Impacto",L70,"")),"")</f>
        <v>0.36</v>
      </c>
      <c r="AB70" s="135" t="str">
        <f t="shared" si="92"/>
        <v>Baja</v>
      </c>
      <c r="AC70" s="136">
        <f t="shared" si="93"/>
        <v>0.36</v>
      </c>
      <c r="AD70" s="135" t="str">
        <f t="shared" si="94"/>
        <v>Mayor</v>
      </c>
      <c r="AE70" s="136">
        <f t="shared" ref="AE70:AE73" si="98">IFERROR(IF(T70="Impacto",(P70-(+P70*W70)),IF(T70="Probabilidad",P70,"")),"")</f>
        <v>0.8</v>
      </c>
      <c r="AF70" s="137" t="str">
        <f t="shared" si="96"/>
        <v>Alto</v>
      </c>
      <c r="AG70" s="138" t="s">
        <v>122</v>
      </c>
      <c r="AH70" s="126" t="s">
        <v>559</v>
      </c>
      <c r="AI70" s="121" t="s">
        <v>212</v>
      </c>
      <c r="AJ70" s="128" t="s">
        <v>286</v>
      </c>
      <c r="AK70" s="128" t="s">
        <v>287</v>
      </c>
      <c r="AL70" s="126" t="s">
        <v>391</v>
      </c>
      <c r="AM70" s="140"/>
    </row>
    <row r="71" spans="1:39" s="163" customFormat="1" ht="151.5" customHeight="1" x14ac:dyDescent="0.35">
      <c r="A71" s="369"/>
      <c r="B71" s="371"/>
      <c r="C71" s="375"/>
      <c r="D71" s="374"/>
      <c r="E71" s="346"/>
      <c r="F71" s="346"/>
      <c r="G71" s="346"/>
      <c r="H71" s="341"/>
      <c r="I71" s="346"/>
      <c r="J71" s="348"/>
      <c r="K71" s="350"/>
      <c r="L71" s="353"/>
      <c r="M71" s="356"/>
      <c r="N71" s="142"/>
      <c r="O71" s="350"/>
      <c r="P71" s="353"/>
      <c r="Q71" s="343"/>
      <c r="R71" s="130">
        <v>2</v>
      </c>
      <c r="S71" s="119"/>
      <c r="T71" s="158"/>
      <c r="U71" s="146"/>
      <c r="V71" s="132"/>
      <c r="W71" s="133"/>
      <c r="X71" s="132"/>
      <c r="Y71" s="132"/>
      <c r="Z71" s="132"/>
      <c r="AA71" s="134"/>
      <c r="AB71" s="135"/>
      <c r="AC71" s="136"/>
      <c r="AD71" s="135"/>
      <c r="AE71" s="136"/>
      <c r="AF71" s="137"/>
      <c r="AG71" s="138"/>
      <c r="AH71" s="126"/>
      <c r="AI71" s="121"/>
      <c r="AJ71" s="128"/>
      <c r="AK71" s="128"/>
      <c r="AL71" s="126"/>
      <c r="AM71" s="140"/>
    </row>
    <row r="72" spans="1:39" s="163" customFormat="1" ht="151.5" customHeight="1" x14ac:dyDescent="0.35">
      <c r="A72" s="393"/>
      <c r="B72" s="372"/>
      <c r="C72" s="375"/>
      <c r="D72" s="374"/>
      <c r="E72" s="346"/>
      <c r="F72" s="346"/>
      <c r="G72" s="346"/>
      <c r="H72" s="341"/>
      <c r="I72" s="346"/>
      <c r="J72" s="348"/>
      <c r="K72" s="351"/>
      <c r="L72" s="354"/>
      <c r="M72" s="356"/>
      <c r="N72" s="142"/>
      <c r="O72" s="351"/>
      <c r="P72" s="354"/>
      <c r="Q72" s="344"/>
      <c r="R72" s="130">
        <v>3</v>
      </c>
      <c r="S72" s="119"/>
      <c r="T72" s="158"/>
      <c r="U72" s="146"/>
      <c r="V72" s="132"/>
      <c r="W72" s="133"/>
      <c r="X72" s="132"/>
      <c r="Y72" s="132"/>
      <c r="Z72" s="132"/>
      <c r="AA72" s="134"/>
      <c r="AB72" s="135"/>
      <c r="AC72" s="136"/>
      <c r="AD72" s="135"/>
      <c r="AE72" s="136"/>
      <c r="AF72" s="137"/>
      <c r="AG72" s="138"/>
      <c r="AH72" s="126"/>
      <c r="AI72" s="121"/>
      <c r="AJ72" s="128"/>
      <c r="AK72" s="128"/>
      <c r="AL72" s="126"/>
      <c r="AM72" s="140"/>
    </row>
    <row r="73" spans="1:39" s="163" customFormat="1" ht="151.5" customHeight="1" x14ac:dyDescent="0.35">
      <c r="A73" s="368">
        <v>24</v>
      </c>
      <c r="B73" s="370" t="s">
        <v>285</v>
      </c>
      <c r="C73" s="373" t="s">
        <v>389</v>
      </c>
      <c r="D73" s="373" t="s">
        <v>390</v>
      </c>
      <c r="E73" s="345" t="s">
        <v>118</v>
      </c>
      <c r="F73" s="345" t="s">
        <v>288</v>
      </c>
      <c r="G73" s="345" t="s">
        <v>447</v>
      </c>
      <c r="H73" s="340" t="s">
        <v>392</v>
      </c>
      <c r="I73" s="345" t="s">
        <v>328</v>
      </c>
      <c r="J73" s="347">
        <v>12</v>
      </c>
      <c r="K73" s="349" t="str">
        <f>IF(J73&lt;=0,"",IF(J73&lt;=2,"Muy Baja",IF(J73&lt;=24,"Baja",IF(J73&lt;=500,"Media",IF(J73&lt;=5000,"Alta","Muy Alta")))))</f>
        <v>Baja</v>
      </c>
      <c r="L73" s="352">
        <f>IF(K73="","",IF(K73="Muy Baja",0.2,IF(K73="Baja",0.4,IF(K73="Media",0.6,IF(K73="Alta",0.8,IF(K73="Muy Alta",1,))))))</f>
        <v>0.4</v>
      </c>
      <c r="M73" s="355" t="s">
        <v>485</v>
      </c>
      <c r="N73" s="129" t="str">
        <f>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49" t="str">
        <f>IF(OR(N73='Tabla Impacto'!$C$11,N73='Tabla Impacto'!$D$11),"Leve",IF(OR(N73='Tabla Impacto'!$C$12,N73='Tabla Impacto'!$D$12),"Menor",IF(OR(N73='Tabla Impacto'!$C$13,N73='Tabla Impacto'!$D$13),"Moderado",IF(OR(N73='Tabla Impacto'!$C$14,N73='Tabla Impacto'!$D$14),"Mayor",IF(OR(N73='Tabla Impacto'!$C$15,N73='Tabla Impacto'!$D$15),"Catastrófico","")))))</f>
        <v>Moderado</v>
      </c>
      <c r="P73" s="352">
        <f>IF(O73="","",IF(O73="Leve",0.2,IF(O73="Menor",0.4,IF(O73="Moderado",0.6,IF(O73="Mayor",0.8,IF(O73="Catastrófico",1,))))))</f>
        <v>0.6</v>
      </c>
      <c r="Q73" s="342"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30">
        <v>1</v>
      </c>
      <c r="S73" s="98" t="s">
        <v>560</v>
      </c>
      <c r="T73" s="131" t="str">
        <f t="shared" si="89"/>
        <v>Probabilidad</v>
      </c>
      <c r="U73" s="132" t="s">
        <v>14</v>
      </c>
      <c r="V73" s="132" t="s">
        <v>9</v>
      </c>
      <c r="W73" s="133" t="str">
        <f t="shared" si="90"/>
        <v>40%</v>
      </c>
      <c r="X73" s="132" t="s">
        <v>19</v>
      </c>
      <c r="Y73" s="132" t="s">
        <v>22</v>
      </c>
      <c r="Z73" s="132" t="s">
        <v>110</v>
      </c>
      <c r="AA73" s="134">
        <f t="shared" si="97"/>
        <v>0.24</v>
      </c>
      <c r="AB73" s="135" t="str">
        <f t="shared" si="92"/>
        <v>Baja</v>
      </c>
      <c r="AC73" s="136">
        <f t="shared" si="93"/>
        <v>0.24</v>
      </c>
      <c r="AD73" s="135" t="str">
        <f t="shared" si="94"/>
        <v>Moderado</v>
      </c>
      <c r="AE73" s="136">
        <f t="shared" si="98"/>
        <v>0.6</v>
      </c>
      <c r="AF73" s="137" t="str">
        <f t="shared" si="96"/>
        <v>Moderado</v>
      </c>
      <c r="AG73" s="138" t="s">
        <v>122</v>
      </c>
      <c r="AH73" s="119" t="s">
        <v>393</v>
      </c>
      <c r="AI73" s="127" t="s">
        <v>198</v>
      </c>
      <c r="AJ73" s="143" t="s">
        <v>199</v>
      </c>
      <c r="AK73" s="143" t="s">
        <v>199</v>
      </c>
      <c r="AL73" s="119" t="s">
        <v>289</v>
      </c>
      <c r="AM73" s="140"/>
    </row>
    <row r="74" spans="1:39" s="163" customFormat="1" ht="151.5" customHeight="1" x14ac:dyDescent="0.35">
      <c r="A74" s="369"/>
      <c r="B74" s="371"/>
      <c r="C74" s="375"/>
      <c r="D74" s="374"/>
      <c r="E74" s="346"/>
      <c r="F74" s="346"/>
      <c r="G74" s="346"/>
      <c r="H74" s="341"/>
      <c r="I74" s="346"/>
      <c r="J74" s="348"/>
      <c r="K74" s="350"/>
      <c r="L74" s="353"/>
      <c r="M74" s="356"/>
      <c r="N74" s="142"/>
      <c r="O74" s="350"/>
      <c r="P74" s="353"/>
      <c r="Q74" s="343"/>
      <c r="R74" s="130">
        <v>2</v>
      </c>
      <c r="S74" s="98"/>
      <c r="T74" s="131" t="str">
        <f t="shared" ref="T74:T75" si="99">IF(OR(U74="Preventivo",U74="Detectivo"),"Probabilidad",IF(U74="Correctivo","Impacto",""))</f>
        <v/>
      </c>
      <c r="U74" s="132"/>
      <c r="V74" s="132"/>
      <c r="W74" s="133"/>
      <c r="X74" s="132"/>
      <c r="Y74" s="132"/>
      <c r="Z74" s="132"/>
      <c r="AA74" s="134" t="str">
        <f>IFERROR(IF(T74="Probabilidad",(AA73-(+AA73*W74)),IF(T74="Impacto",L74,"")),"")</f>
        <v/>
      </c>
      <c r="AB74" s="135" t="str">
        <f t="shared" ref="AB74:AB75" si="100">IFERROR(IF(AA74="","",IF(AA74&lt;=0.2,"Muy Baja",IF(AA74&lt;=0.4,"Baja",IF(AA74&lt;=0.6,"Media",IF(AA74&lt;=0.8,"Alta","Muy Alta"))))),"")</f>
        <v/>
      </c>
      <c r="AC74" s="136" t="str">
        <f t="shared" ref="AC74:AC75" si="101">+AA74</f>
        <v/>
      </c>
      <c r="AD74" s="135" t="str">
        <f t="shared" ref="AD74:AD75" si="102">IFERROR(IF(AE74="","",IF(AE74&lt;=0.2,"Leve",IF(AE74&lt;=0.4,"Menor",IF(AE74&lt;=0.6,"Moderado",IF(AE74&lt;=0.8,"Mayor","Catastrófico"))))),"")</f>
        <v/>
      </c>
      <c r="AE74" s="136" t="str">
        <f t="shared" ref="AE74:AE75" si="103">IFERROR(IF(T74="Impacto",(P74-(+P74*W74)),IF(T74="Probabilidad",P74,"")),"")</f>
        <v/>
      </c>
      <c r="AF74" s="137"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38"/>
      <c r="AH74" s="119"/>
      <c r="AI74" s="127"/>
      <c r="AJ74" s="143"/>
      <c r="AK74" s="143"/>
      <c r="AL74" s="119"/>
      <c r="AM74" s="140"/>
    </row>
    <row r="75" spans="1:39" s="163" customFormat="1" ht="151.5" customHeight="1" x14ac:dyDescent="0.35">
      <c r="A75" s="369"/>
      <c r="B75" s="372"/>
      <c r="C75" s="375"/>
      <c r="D75" s="374"/>
      <c r="E75" s="346"/>
      <c r="F75" s="346"/>
      <c r="G75" s="346"/>
      <c r="H75" s="341"/>
      <c r="I75" s="346"/>
      <c r="J75" s="348"/>
      <c r="K75" s="351"/>
      <c r="L75" s="354"/>
      <c r="M75" s="356"/>
      <c r="N75" s="142"/>
      <c r="O75" s="351"/>
      <c r="P75" s="354"/>
      <c r="Q75" s="344"/>
      <c r="R75" s="130">
        <v>3</v>
      </c>
      <c r="S75" s="98"/>
      <c r="T75" s="131" t="str">
        <f t="shared" si="99"/>
        <v/>
      </c>
      <c r="U75" s="132"/>
      <c r="V75" s="132"/>
      <c r="W75" s="133"/>
      <c r="X75" s="132"/>
      <c r="Y75" s="132"/>
      <c r="Z75" s="132"/>
      <c r="AA75" s="134" t="str">
        <f>IFERROR(IF(T75="Probabilidad",(AA74-(+AA74*W75)),IF(T75="Impacto",L75,"")),"")</f>
        <v/>
      </c>
      <c r="AB75" s="135" t="str">
        <f t="shared" si="100"/>
        <v/>
      </c>
      <c r="AC75" s="136" t="str">
        <f t="shared" si="101"/>
        <v/>
      </c>
      <c r="AD75" s="135" t="str">
        <f t="shared" si="102"/>
        <v/>
      </c>
      <c r="AE75" s="136" t="str">
        <f t="shared" si="103"/>
        <v/>
      </c>
      <c r="AF75" s="137" t="str">
        <f t="shared" si="104"/>
        <v/>
      </c>
      <c r="AG75" s="138"/>
      <c r="AH75" s="119"/>
      <c r="AI75" s="127"/>
      <c r="AJ75" s="143"/>
      <c r="AK75" s="143"/>
      <c r="AL75" s="119"/>
      <c r="AM75" s="140"/>
    </row>
    <row r="76" spans="1:39" s="163" customFormat="1" ht="151.5" customHeight="1" x14ac:dyDescent="0.35">
      <c r="A76" s="369">
        <v>25</v>
      </c>
      <c r="B76" s="370" t="s">
        <v>285</v>
      </c>
      <c r="C76" s="373" t="s">
        <v>389</v>
      </c>
      <c r="D76" s="373" t="s">
        <v>390</v>
      </c>
      <c r="E76" s="345" t="s">
        <v>120</v>
      </c>
      <c r="F76" s="345" t="s">
        <v>449</v>
      </c>
      <c r="G76" s="345" t="s">
        <v>448</v>
      </c>
      <c r="H76" s="340" t="s">
        <v>397</v>
      </c>
      <c r="I76" s="345" t="s">
        <v>328</v>
      </c>
      <c r="J76" s="347">
        <v>12</v>
      </c>
      <c r="K76" s="349" t="str">
        <f>IF(J76&lt;=0,"",IF(J76&lt;=2,"Muy Baja",IF(J76&lt;=24,"Baja",IF(J76&lt;=500,"Media",IF(J76&lt;=5000,"Alta","Muy Alta")))))</f>
        <v>Baja</v>
      </c>
      <c r="L76" s="352">
        <f>IF(K76="","",IF(K76="Muy Baja",0.2,IF(K76="Baja",0.4,IF(K76="Media",0.6,IF(K76="Alta",0.8,IF(K76="Muy Alta",1,))))))</f>
        <v>0.4</v>
      </c>
      <c r="M76" s="355" t="s">
        <v>485</v>
      </c>
      <c r="N76" s="129"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49" t="str">
        <f>IF(OR(N76='Tabla Impacto'!$C$11,N76='Tabla Impacto'!$D$11),"Leve",IF(OR(N76='Tabla Impacto'!$C$12,N76='Tabla Impacto'!$D$12),"Menor",IF(OR(N76='Tabla Impacto'!$C$13,N76='Tabla Impacto'!$D$13),"Moderado",IF(OR(N76='Tabla Impacto'!$C$14,N76='Tabla Impacto'!$D$14),"Mayor",IF(OR(N76='Tabla Impacto'!$C$15,N76='Tabla Impacto'!$D$15),"Catastrófico","")))))</f>
        <v>Moderado</v>
      </c>
      <c r="P76" s="352">
        <f>IF(O76="","",IF(O76="Leve",0.2,IF(O76="Menor",0.4,IF(O76="Moderado",0.6,IF(O76="Mayor",0.8,IF(O76="Catastrófico",1,))))))</f>
        <v>0.6</v>
      </c>
      <c r="Q76" s="342"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0">
        <v>1</v>
      </c>
      <c r="S76" s="98" t="s">
        <v>340</v>
      </c>
      <c r="T76" s="131" t="str">
        <f t="shared" si="25"/>
        <v>Probabilidad</v>
      </c>
      <c r="U76" s="132" t="s">
        <v>14</v>
      </c>
      <c r="V76" s="132" t="s">
        <v>9</v>
      </c>
      <c r="W76" s="133" t="str">
        <f t="shared" si="26"/>
        <v>40%</v>
      </c>
      <c r="X76" s="132" t="s">
        <v>19</v>
      </c>
      <c r="Y76" s="132" t="s">
        <v>22</v>
      </c>
      <c r="Z76" s="132" t="s">
        <v>110</v>
      </c>
      <c r="AA76" s="134">
        <f t="shared" si="27"/>
        <v>0.24</v>
      </c>
      <c r="AB76" s="135" t="str">
        <f t="shared" si="28"/>
        <v>Baja</v>
      </c>
      <c r="AC76" s="136">
        <f t="shared" si="29"/>
        <v>0.24</v>
      </c>
      <c r="AD76" s="135" t="str">
        <f t="shared" si="30"/>
        <v>Moderado</v>
      </c>
      <c r="AE76" s="136">
        <f t="shared" si="31"/>
        <v>0.6</v>
      </c>
      <c r="AF76" s="137" t="str">
        <f t="shared" si="32"/>
        <v>Moderado</v>
      </c>
      <c r="AG76" s="138" t="s">
        <v>122</v>
      </c>
      <c r="AH76" s="119" t="s">
        <v>290</v>
      </c>
      <c r="AI76" s="144" t="s">
        <v>260</v>
      </c>
      <c r="AJ76" s="143" t="s">
        <v>286</v>
      </c>
      <c r="AK76" s="143" t="s">
        <v>287</v>
      </c>
      <c r="AL76" s="119" t="s">
        <v>291</v>
      </c>
      <c r="AM76" s="140"/>
    </row>
    <row r="77" spans="1:39" s="163" customFormat="1" ht="151.5" customHeight="1" x14ac:dyDescent="0.35">
      <c r="A77" s="369"/>
      <c r="B77" s="371"/>
      <c r="C77" s="375"/>
      <c r="D77" s="374"/>
      <c r="E77" s="346"/>
      <c r="F77" s="346"/>
      <c r="G77" s="346"/>
      <c r="H77" s="341"/>
      <c r="I77" s="346"/>
      <c r="J77" s="348"/>
      <c r="K77" s="350"/>
      <c r="L77" s="353"/>
      <c r="M77" s="356"/>
      <c r="N77" s="142"/>
      <c r="O77" s="350"/>
      <c r="P77" s="353"/>
      <c r="Q77" s="343"/>
      <c r="R77" s="130">
        <v>2</v>
      </c>
      <c r="S77" s="98" t="s">
        <v>394</v>
      </c>
      <c r="T77" s="131" t="str">
        <f t="shared" ref="T77:T78" si="105">IF(OR(U77="Preventivo",U77="Detectivo"),"Probabilidad",IF(U77="Correctivo","Impacto",""))</f>
        <v>Probabilidad</v>
      </c>
      <c r="U77" s="132" t="s">
        <v>15</v>
      </c>
      <c r="V77" s="132" t="s">
        <v>9</v>
      </c>
      <c r="W77" s="133" t="str">
        <f t="shared" ref="W77:W78" si="106">IF(AND(U77="Preventivo",V77="Automático"),"50%",IF(AND(U77="Preventivo",V77="Manual"),"40%",IF(AND(U77="Detectivo",V77="Automático"),"40%",IF(AND(U77="Detectivo",V77="Manual"),"30%",IF(AND(U77="Correctivo",V77="Automático"),"35%",IF(AND(U77="Correctivo",V77="Manual"),"25%",""))))))</f>
        <v>30%</v>
      </c>
      <c r="X77" s="132" t="s">
        <v>20</v>
      </c>
      <c r="Y77" s="132" t="s">
        <v>23</v>
      </c>
      <c r="Z77" s="132" t="s">
        <v>110</v>
      </c>
      <c r="AA77" s="134">
        <f>IFERROR(IF(T77="Probabilidad",(AA76-(+AA76*W77)),IF(T77="Impacto",L77,"")),"")</f>
        <v>0.16799999999999998</v>
      </c>
      <c r="AB77" s="135" t="str">
        <f t="shared" ref="AB77:AB78" si="107">IFERROR(IF(AA77="","",IF(AA77&lt;=0.2,"Muy Baja",IF(AA77&lt;=0.4,"Baja",IF(AA77&lt;=0.6,"Media",IF(AA77&lt;=0.8,"Alta","Muy Alta"))))),"")</f>
        <v>Muy Baja</v>
      </c>
      <c r="AC77" s="136">
        <f t="shared" ref="AC77:AC78" si="108">+AA77</f>
        <v>0.16799999999999998</v>
      </c>
      <c r="AD77" s="135" t="str">
        <f t="shared" ref="AD77:AD78" si="109">IFERROR(IF(AE77="","",IF(AE77&lt;=0.2,"Leve",IF(AE77&lt;=0.4,"Menor",IF(AE77&lt;=0.6,"Moderado",IF(AE77&lt;=0.8,"Mayor","Catastrófico"))))),"")</f>
        <v>Moderado</v>
      </c>
      <c r="AE77" s="136">
        <v>0.6</v>
      </c>
      <c r="AF77" s="137"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38" t="s">
        <v>122</v>
      </c>
      <c r="AH77" s="119" t="s">
        <v>395</v>
      </c>
      <c r="AI77" s="144" t="s">
        <v>260</v>
      </c>
      <c r="AJ77" s="143" t="s">
        <v>286</v>
      </c>
      <c r="AK77" s="143" t="s">
        <v>287</v>
      </c>
      <c r="AL77" s="119" t="s">
        <v>291</v>
      </c>
      <c r="AM77" s="140"/>
    </row>
    <row r="78" spans="1:39" s="163" customFormat="1" ht="151.5" customHeight="1" x14ac:dyDescent="0.35">
      <c r="A78" s="369"/>
      <c r="B78" s="372"/>
      <c r="C78" s="375"/>
      <c r="D78" s="374"/>
      <c r="E78" s="346"/>
      <c r="F78" s="346"/>
      <c r="G78" s="346"/>
      <c r="H78" s="341"/>
      <c r="I78" s="346"/>
      <c r="J78" s="348"/>
      <c r="K78" s="351"/>
      <c r="L78" s="354"/>
      <c r="M78" s="356"/>
      <c r="N78" s="142"/>
      <c r="O78" s="351"/>
      <c r="P78" s="354"/>
      <c r="Q78" s="344"/>
      <c r="R78" s="130">
        <v>3</v>
      </c>
      <c r="S78" s="98" t="s">
        <v>341</v>
      </c>
      <c r="T78" s="131" t="str">
        <f t="shared" si="105"/>
        <v>Probabilidad</v>
      </c>
      <c r="U78" s="132" t="s">
        <v>14</v>
      </c>
      <c r="V78" s="132" t="s">
        <v>9</v>
      </c>
      <c r="W78" s="133" t="str">
        <f t="shared" si="106"/>
        <v>40%</v>
      </c>
      <c r="X78" s="132" t="s">
        <v>19</v>
      </c>
      <c r="Y78" s="132" t="s">
        <v>22</v>
      </c>
      <c r="Z78" s="132" t="s">
        <v>110</v>
      </c>
      <c r="AA78" s="134">
        <f>IFERROR(IF(T78="Probabilidad",(AA77-(+AA77*W78)),IF(T78="Impacto",L78,"")),"")</f>
        <v>0.10079999999999999</v>
      </c>
      <c r="AB78" s="135" t="str">
        <f t="shared" si="107"/>
        <v>Muy Baja</v>
      </c>
      <c r="AC78" s="136">
        <f t="shared" si="108"/>
        <v>0.10079999999999999</v>
      </c>
      <c r="AD78" s="135" t="str">
        <f t="shared" si="109"/>
        <v>Moderado</v>
      </c>
      <c r="AE78" s="136">
        <v>0.6</v>
      </c>
      <c r="AF78" s="137" t="str">
        <f t="shared" si="110"/>
        <v>Moderado</v>
      </c>
      <c r="AG78" s="138" t="s">
        <v>122</v>
      </c>
      <c r="AH78" s="119" t="s">
        <v>396</v>
      </c>
      <c r="AI78" s="144" t="s">
        <v>260</v>
      </c>
      <c r="AJ78" s="143" t="s">
        <v>286</v>
      </c>
      <c r="AK78" s="143" t="s">
        <v>287</v>
      </c>
      <c r="AL78" s="119" t="s">
        <v>291</v>
      </c>
      <c r="AM78" s="140"/>
    </row>
    <row r="79" spans="1:39" s="163" customFormat="1" ht="151.5" customHeight="1" x14ac:dyDescent="0.35">
      <c r="A79" s="369">
        <v>26</v>
      </c>
      <c r="B79" s="419" t="s">
        <v>292</v>
      </c>
      <c r="C79" s="373" t="s">
        <v>357</v>
      </c>
      <c r="D79" s="373" t="s">
        <v>398</v>
      </c>
      <c r="E79" s="345" t="s">
        <v>120</v>
      </c>
      <c r="F79" s="345" t="s">
        <v>293</v>
      </c>
      <c r="G79" s="345" t="s">
        <v>294</v>
      </c>
      <c r="H79" s="340" t="s">
        <v>553</v>
      </c>
      <c r="I79" s="345" t="s">
        <v>115</v>
      </c>
      <c r="J79" s="347">
        <v>2</v>
      </c>
      <c r="K79" s="349" t="str">
        <f>IF(J79&lt;=0,"",IF(J79&lt;=2,"Muy Baja",IF(J79&lt;=24,"Baja",IF(J79&lt;=500,"Media",IF(J79&lt;=5000,"Alta","Muy Alta")))))</f>
        <v>Muy Baja</v>
      </c>
      <c r="L79" s="352">
        <f>IF(K79="","",IF(K79="Muy Baja",0.2,IF(K79="Baja",0.4,IF(K79="Media",0.6,IF(K79="Alta",0.8,IF(K79="Muy Alta",1,))))))</f>
        <v>0.2</v>
      </c>
      <c r="M79" s="355" t="s">
        <v>484</v>
      </c>
      <c r="N79" s="129" t="str">
        <f>IF(NOT(ISERROR(MATCH(M79,'Tabla Impacto'!$B$221:$B$223,0))),'Tabla Impacto'!$F$223&amp;"Por favor no seleccionar los criterios de impacto(Afectación Económica o presupuestal y Pérdida Reputacional)",M79)</f>
        <v xml:space="preserve"> Entre 50 y 100 SMLMV </v>
      </c>
      <c r="O79" s="349" t="str">
        <f>IF(OR(N79='Tabla Impacto'!$C$11,N79='Tabla Impacto'!$D$11),"Leve",IF(OR(N79='Tabla Impacto'!$C$12,N79='Tabla Impacto'!$D$12),"Menor",IF(OR(N79='Tabla Impacto'!$C$13,N79='Tabla Impacto'!$D$13),"Moderado",IF(OR(N79='Tabla Impacto'!$C$14,N79='Tabla Impacto'!$D$14),"Mayor",IF(OR(N79='Tabla Impacto'!$C$15,N79='Tabla Impacto'!$D$15),"Catastrófico","")))))</f>
        <v>Moderado</v>
      </c>
      <c r="P79" s="352">
        <f>IF(O79="","",IF(O79="Leve",0.2,IF(O79="Menor",0.4,IF(O79="Moderado",0.6,IF(O79="Mayor",0.8,IF(O79="Catastrófico",1,))))))</f>
        <v>0.6</v>
      </c>
      <c r="Q79" s="342"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0">
        <v>1</v>
      </c>
      <c r="S79" s="98" t="s">
        <v>554</v>
      </c>
      <c r="T79" s="131" t="str">
        <f t="shared" si="25"/>
        <v>Probabilidad</v>
      </c>
      <c r="U79" s="132" t="s">
        <v>14</v>
      </c>
      <c r="V79" s="132" t="s">
        <v>9</v>
      </c>
      <c r="W79" s="133" t="str">
        <f t="shared" si="26"/>
        <v>40%</v>
      </c>
      <c r="X79" s="132" t="s">
        <v>20</v>
      </c>
      <c r="Y79" s="132" t="s">
        <v>22</v>
      </c>
      <c r="Z79" s="132" t="s">
        <v>110</v>
      </c>
      <c r="AA79" s="134">
        <f t="shared" si="27"/>
        <v>0.12</v>
      </c>
      <c r="AB79" s="135" t="str">
        <f t="shared" si="28"/>
        <v>Muy Baja</v>
      </c>
      <c r="AC79" s="136">
        <f t="shared" si="29"/>
        <v>0.12</v>
      </c>
      <c r="AD79" s="135" t="str">
        <f t="shared" si="30"/>
        <v>Moderado</v>
      </c>
      <c r="AE79" s="136">
        <f t="shared" si="31"/>
        <v>0.6</v>
      </c>
      <c r="AF79" s="137" t="str">
        <f t="shared" si="32"/>
        <v>Moderado</v>
      </c>
      <c r="AG79" s="138" t="s">
        <v>122</v>
      </c>
      <c r="AH79" s="119" t="s">
        <v>555</v>
      </c>
      <c r="AI79" s="127" t="s">
        <v>260</v>
      </c>
      <c r="AJ79" s="155">
        <v>44562</v>
      </c>
      <c r="AK79" s="156" t="s">
        <v>373</v>
      </c>
      <c r="AL79" s="119" t="s">
        <v>450</v>
      </c>
      <c r="AM79" s="140"/>
    </row>
    <row r="80" spans="1:39" s="163" customFormat="1" ht="151.5" customHeight="1" x14ac:dyDescent="0.35">
      <c r="A80" s="369"/>
      <c r="B80" s="420"/>
      <c r="C80" s="374"/>
      <c r="D80" s="374"/>
      <c r="E80" s="346"/>
      <c r="F80" s="346"/>
      <c r="G80" s="346"/>
      <c r="H80" s="341"/>
      <c r="I80" s="346"/>
      <c r="J80" s="348"/>
      <c r="K80" s="350"/>
      <c r="L80" s="353"/>
      <c r="M80" s="356"/>
      <c r="N80" s="142"/>
      <c r="O80" s="350"/>
      <c r="P80" s="353"/>
      <c r="Q80" s="343"/>
      <c r="R80" s="130">
        <v>2</v>
      </c>
      <c r="S80" s="98" t="s">
        <v>342</v>
      </c>
      <c r="T80" s="131" t="str">
        <f t="shared" ref="T80:T82" si="111">IF(OR(U80="Preventivo",U80="Detectivo"),"Probabilidad",IF(U80="Correctivo","Impacto",""))</f>
        <v>Probabilidad</v>
      </c>
      <c r="U80" s="132" t="s">
        <v>14</v>
      </c>
      <c r="V80" s="132" t="s">
        <v>9</v>
      </c>
      <c r="W80" s="133" t="str">
        <f t="shared" ref="W80:W82" si="112">IF(AND(U80="Preventivo",V80="Automático"),"50%",IF(AND(U80="Preventivo",V80="Manual"),"40%",IF(AND(U80="Detectivo",V80="Automático"),"40%",IF(AND(U80="Detectivo",V80="Manual"),"30%",IF(AND(U80="Correctivo",V80="Automático"),"35%",IF(AND(U80="Correctivo",V80="Manual"),"25%",""))))))</f>
        <v>40%</v>
      </c>
      <c r="X80" s="132" t="s">
        <v>19</v>
      </c>
      <c r="Y80" s="132" t="s">
        <v>22</v>
      </c>
      <c r="Z80" s="132" t="s">
        <v>110</v>
      </c>
      <c r="AA80" s="134">
        <f>IFERROR(IF(T80="Probabilidad",(AA79-(+AA79*W80)),IF(T80="Impacto",L80,"")),"")</f>
        <v>7.1999999999999995E-2</v>
      </c>
      <c r="AB80" s="135" t="str">
        <f t="shared" ref="AB80:AB82" si="113">IFERROR(IF(AA80="","",IF(AA80&lt;=0.2,"Muy Baja",IF(AA80&lt;=0.4,"Baja",IF(AA80&lt;=0.6,"Media",IF(AA80&lt;=0.8,"Alta","Muy Alta"))))),"")</f>
        <v>Muy Baja</v>
      </c>
      <c r="AC80" s="136">
        <f t="shared" ref="AC80:AC82" si="114">+AA80</f>
        <v>7.1999999999999995E-2</v>
      </c>
      <c r="AD80" s="135" t="str">
        <f t="shared" ref="AD80:AD82" si="115">IFERROR(IF(AE80="","",IF(AE80&lt;=0.2,"Leve",IF(AE80&lt;=0.4,"Menor",IF(AE80&lt;=0.6,"Moderado",IF(AE80&lt;=0.8,"Mayor","Catastrófico"))))),"")</f>
        <v>Moderado</v>
      </c>
      <c r="AE80" s="136">
        <f>+AE79</f>
        <v>0.6</v>
      </c>
      <c r="AF80" s="137" t="str">
        <f t="shared" ref="AF80:AF82"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8" t="s">
        <v>122</v>
      </c>
      <c r="AH80" s="119" t="s">
        <v>556</v>
      </c>
      <c r="AI80" s="127" t="s">
        <v>399</v>
      </c>
      <c r="AJ80" s="155">
        <v>44562</v>
      </c>
      <c r="AK80" s="156" t="s">
        <v>373</v>
      </c>
      <c r="AL80" s="119" t="s">
        <v>450</v>
      </c>
      <c r="AM80" s="140"/>
    </row>
    <row r="81" spans="1:39" s="163" customFormat="1" ht="151.5" customHeight="1" x14ac:dyDescent="0.35">
      <c r="A81" s="369"/>
      <c r="B81" s="421"/>
      <c r="C81" s="374"/>
      <c r="D81" s="374"/>
      <c r="E81" s="346"/>
      <c r="F81" s="346"/>
      <c r="G81" s="346"/>
      <c r="H81" s="341"/>
      <c r="I81" s="346"/>
      <c r="J81" s="348"/>
      <c r="K81" s="351"/>
      <c r="L81" s="354"/>
      <c r="M81" s="356"/>
      <c r="N81" s="142"/>
      <c r="O81" s="351"/>
      <c r="P81" s="354"/>
      <c r="Q81" s="344"/>
      <c r="R81" s="130">
        <v>3</v>
      </c>
      <c r="S81" s="139" t="s">
        <v>580</v>
      </c>
      <c r="T81" s="131" t="str">
        <f t="shared" si="111"/>
        <v>Probabilidad</v>
      </c>
      <c r="U81" s="132" t="s">
        <v>15</v>
      </c>
      <c r="V81" s="132" t="s">
        <v>9</v>
      </c>
      <c r="W81" s="133" t="str">
        <f t="shared" si="112"/>
        <v>30%</v>
      </c>
      <c r="X81" s="132" t="s">
        <v>20</v>
      </c>
      <c r="Y81" s="132" t="s">
        <v>23</v>
      </c>
      <c r="Z81" s="132" t="s">
        <v>111</v>
      </c>
      <c r="AA81" s="134">
        <f>IFERROR(IF(T81="Probabilidad",(AA80-(+AA80*W81)),IF(T81="Impacto",L81,"")),"")</f>
        <v>5.04E-2</v>
      </c>
      <c r="AB81" s="135" t="str">
        <f t="shared" si="113"/>
        <v>Muy Baja</v>
      </c>
      <c r="AC81" s="136">
        <f t="shared" si="114"/>
        <v>5.04E-2</v>
      </c>
      <c r="AD81" s="135" t="str">
        <f t="shared" si="115"/>
        <v>Moderado</v>
      </c>
      <c r="AE81" s="136">
        <f>+P79</f>
        <v>0.6</v>
      </c>
      <c r="AF81" s="137" t="str">
        <f t="shared" si="116"/>
        <v>Moderado</v>
      </c>
      <c r="AG81" s="138" t="s">
        <v>122</v>
      </c>
      <c r="AH81" s="119" t="s">
        <v>555</v>
      </c>
      <c r="AI81" s="127" t="s">
        <v>399</v>
      </c>
      <c r="AJ81" s="155">
        <v>44562</v>
      </c>
      <c r="AK81" s="156" t="s">
        <v>373</v>
      </c>
      <c r="AL81" s="119" t="s">
        <v>450</v>
      </c>
      <c r="AM81" s="140"/>
    </row>
    <row r="82" spans="1:39" s="163" customFormat="1" ht="151.5" customHeight="1" x14ac:dyDescent="0.35">
      <c r="A82" s="369">
        <v>27</v>
      </c>
      <c r="B82" s="419" t="s">
        <v>292</v>
      </c>
      <c r="C82" s="373" t="s">
        <v>357</v>
      </c>
      <c r="D82" s="373" t="s">
        <v>398</v>
      </c>
      <c r="E82" s="345" t="s">
        <v>118</v>
      </c>
      <c r="F82" s="345" t="s">
        <v>451</v>
      </c>
      <c r="G82" s="345" t="s">
        <v>452</v>
      </c>
      <c r="H82" s="340" t="s">
        <v>453</v>
      </c>
      <c r="I82" s="345" t="s">
        <v>328</v>
      </c>
      <c r="J82" s="347">
        <v>10</v>
      </c>
      <c r="K82" s="349" t="str">
        <f>IF(J82&lt;=0,"",IF(J82&lt;=2,"Muy Baja",IF(J82&lt;=24,"Baja",IF(J82&lt;=500,"Media",IF(J82&lt;=5000,"Alta","Muy Alta")))))</f>
        <v>Baja</v>
      </c>
      <c r="L82" s="352">
        <f>IF(K82="","",IF(K82="Muy Baja",0.2,IF(K82="Baja",0.4,IF(K82="Media",0.6,IF(K82="Alta",0.8,IF(K82="Muy Alta",1,))))))</f>
        <v>0.4</v>
      </c>
      <c r="M82" s="355" t="s">
        <v>485</v>
      </c>
      <c r="N82" s="129" t="str">
        <f>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49" t="str">
        <f>IF(OR(N82='Tabla Impacto'!$C$11,N82='Tabla Impacto'!$D$11),"Leve",IF(OR(N82='Tabla Impacto'!$C$12,N82='Tabla Impacto'!$D$12),"Menor",IF(OR(N82='Tabla Impacto'!$C$13,N82='Tabla Impacto'!$D$13),"Moderado",IF(OR(N82='Tabla Impacto'!$C$14,N82='Tabla Impacto'!$D$14),"Mayor",IF(OR(N82='Tabla Impacto'!$C$15,N82='Tabla Impacto'!$D$15),"Catastrófico","")))))</f>
        <v>Moderado</v>
      </c>
      <c r="P82" s="352">
        <f>IF(O82="","",IF(O82="Leve",0.2,IF(O82="Menor",0.4,IF(O82="Moderado",0.6,IF(O82="Mayor",0.8,IF(O82="Catastrófico",1,))))))</f>
        <v>0.6</v>
      </c>
      <c r="Q82" s="342"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0">
        <v>1</v>
      </c>
      <c r="S82" s="119" t="s">
        <v>458</v>
      </c>
      <c r="T82" s="158" t="str">
        <f t="shared" si="111"/>
        <v>Probabilidad</v>
      </c>
      <c r="U82" s="146" t="s">
        <v>15</v>
      </c>
      <c r="V82" s="146" t="s">
        <v>9</v>
      </c>
      <c r="W82" s="147" t="str">
        <f t="shared" si="112"/>
        <v>30%</v>
      </c>
      <c r="X82" s="146" t="s">
        <v>20</v>
      </c>
      <c r="Y82" s="146" t="s">
        <v>23</v>
      </c>
      <c r="Z82" s="146" t="s">
        <v>111</v>
      </c>
      <c r="AA82" s="148">
        <f t="shared" ref="AA82" si="117">IFERROR(IF(T82="Probabilidad",(L82-(+L82*W82)),IF(T82="Impacto",L82,"")),"")</f>
        <v>0.28000000000000003</v>
      </c>
      <c r="AB82" s="135" t="str">
        <f t="shared" si="113"/>
        <v>Baja</v>
      </c>
      <c r="AC82" s="149">
        <f t="shared" si="114"/>
        <v>0.28000000000000003</v>
      </c>
      <c r="AD82" s="135" t="str">
        <f t="shared" si="115"/>
        <v>Moderado</v>
      </c>
      <c r="AE82" s="149">
        <f t="shared" ref="AE82" si="118">IFERROR(IF(T82="Impacto",(P82-(+P82*W82)),IF(T82="Probabilidad",P82,"")),"")</f>
        <v>0.6</v>
      </c>
      <c r="AF82" s="150" t="str">
        <f t="shared" si="116"/>
        <v>Moderado</v>
      </c>
      <c r="AG82" s="151" t="s">
        <v>122</v>
      </c>
      <c r="AH82" s="119" t="s">
        <v>557</v>
      </c>
      <c r="AI82" s="127" t="s">
        <v>198</v>
      </c>
      <c r="AJ82" s="155">
        <v>44562</v>
      </c>
      <c r="AK82" s="156" t="s">
        <v>373</v>
      </c>
      <c r="AL82" s="119" t="s">
        <v>454</v>
      </c>
      <c r="AM82" s="140"/>
    </row>
    <row r="83" spans="1:39" s="163" customFormat="1" ht="151.5" customHeight="1" x14ac:dyDescent="0.35">
      <c r="A83" s="369"/>
      <c r="B83" s="420"/>
      <c r="C83" s="374"/>
      <c r="D83" s="374"/>
      <c r="E83" s="346"/>
      <c r="F83" s="346"/>
      <c r="G83" s="346"/>
      <c r="H83" s="341"/>
      <c r="I83" s="346"/>
      <c r="J83" s="348"/>
      <c r="K83" s="350"/>
      <c r="L83" s="353"/>
      <c r="M83" s="356"/>
      <c r="N83" s="142"/>
      <c r="O83" s="350"/>
      <c r="P83" s="353"/>
      <c r="Q83" s="343"/>
      <c r="R83" s="159">
        <v>2</v>
      </c>
      <c r="S83" s="119"/>
      <c r="T83" s="158"/>
      <c r="U83" s="146"/>
      <c r="V83" s="146"/>
      <c r="W83" s="147"/>
      <c r="X83" s="146"/>
      <c r="Y83" s="146"/>
      <c r="Z83" s="146"/>
      <c r="AA83" s="148"/>
      <c r="AB83" s="135"/>
      <c r="AC83" s="149"/>
      <c r="AD83" s="135"/>
      <c r="AE83" s="149"/>
      <c r="AF83" s="150"/>
      <c r="AG83" s="151"/>
      <c r="AH83" s="119"/>
      <c r="AI83" s="127"/>
      <c r="AJ83" s="155"/>
      <c r="AK83" s="156"/>
      <c r="AL83" s="119"/>
      <c r="AM83" s="140"/>
    </row>
    <row r="84" spans="1:39" s="163" customFormat="1" ht="151.5" customHeight="1" x14ac:dyDescent="0.35">
      <c r="A84" s="369"/>
      <c r="B84" s="421"/>
      <c r="C84" s="374"/>
      <c r="D84" s="374"/>
      <c r="E84" s="346"/>
      <c r="F84" s="346"/>
      <c r="G84" s="346"/>
      <c r="H84" s="341"/>
      <c r="I84" s="346"/>
      <c r="J84" s="348"/>
      <c r="K84" s="351"/>
      <c r="L84" s="354"/>
      <c r="M84" s="356"/>
      <c r="N84" s="142"/>
      <c r="O84" s="351"/>
      <c r="P84" s="354"/>
      <c r="Q84" s="344"/>
      <c r="R84" s="159">
        <v>3</v>
      </c>
      <c r="S84" s="119"/>
      <c r="T84" s="158"/>
      <c r="U84" s="146"/>
      <c r="V84" s="146"/>
      <c r="W84" s="147"/>
      <c r="X84" s="146"/>
      <c r="Y84" s="146"/>
      <c r="Z84" s="146"/>
      <c r="AA84" s="148"/>
      <c r="AB84" s="135"/>
      <c r="AC84" s="149"/>
      <c r="AD84" s="135"/>
      <c r="AE84" s="149"/>
      <c r="AF84" s="150"/>
      <c r="AG84" s="151"/>
      <c r="AH84" s="119"/>
      <c r="AI84" s="127"/>
      <c r="AJ84" s="155"/>
      <c r="AK84" s="156"/>
      <c r="AL84" s="119"/>
      <c r="AM84" s="140"/>
    </row>
    <row r="85" spans="1:39" s="163" customFormat="1" ht="151.5" customHeight="1" x14ac:dyDescent="0.35">
      <c r="A85" s="369">
        <v>28</v>
      </c>
      <c r="B85" s="370" t="s">
        <v>296</v>
      </c>
      <c r="C85" s="373" t="s">
        <v>295</v>
      </c>
      <c r="D85" s="373" t="s">
        <v>297</v>
      </c>
      <c r="E85" s="345" t="s">
        <v>118</v>
      </c>
      <c r="F85" s="345" t="s">
        <v>298</v>
      </c>
      <c r="G85" s="345" t="s">
        <v>455</v>
      </c>
      <c r="H85" s="340" t="s">
        <v>299</v>
      </c>
      <c r="I85" s="345" t="s">
        <v>115</v>
      </c>
      <c r="J85" s="347">
        <v>355</v>
      </c>
      <c r="K85" s="349" t="str">
        <f>IF(J85&lt;=0,"",IF(J85&lt;=2,"Muy Baja",IF(J85&lt;=24,"Baja",IF(J85&lt;=500,"Media",IF(J85&lt;=5000,"Alta","Muy Alta")))))</f>
        <v>Media</v>
      </c>
      <c r="L85" s="352">
        <f>IF(K85="","",IF(K85="Muy Baja",0.2,IF(K85="Baja",0.4,IF(K85="Media",0.6,IF(K85="Alta",0.8,IF(K85="Muy Alta",1,))))))</f>
        <v>0.6</v>
      </c>
      <c r="M85" s="355" t="s">
        <v>492</v>
      </c>
      <c r="N85" s="129"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49" t="str">
        <f>IF(OR(N85='Tabla Impacto'!$C$11,N85='Tabla Impacto'!$D$11),"Leve",IF(OR(N85='Tabla Impacto'!$C$12,N85='Tabla Impacto'!$D$12),"Menor",IF(OR(N85='Tabla Impacto'!$C$13,N85='Tabla Impacto'!$D$13),"Moderado",IF(OR(N85='Tabla Impacto'!$C$14,N85='Tabla Impacto'!$D$14),"Mayor",IF(OR(N85='Tabla Impacto'!$C$15,N85='Tabla Impacto'!$D$15),"Catastrófico","")))))</f>
        <v>Mayor</v>
      </c>
      <c r="P85" s="352">
        <f>IF(O85="","",IF(O85="Leve",0.2,IF(O85="Menor",0.4,IF(O85="Moderado",0.6,IF(O85="Mayor",0.8,IF(O85="Catastrófico",1,))))))</f>
        <v>0.8</v>
      </c>
      <c r="Q85" s="342"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30">
        <v>1</v>
      </c>
      <c r="S85" s="98" t="s">
        <v>456</v>
      </c>
      <c r="T85" s="131" t="str">
        <f t="shared" si="25"/>
        <v>Probabilidad</v>
      </c>
      <c r="U85" s="132" t="s">
        <v>14</v>
      </c>
      <c r="V85" s="132" t="s">
        <v>9</v>
      </c>
      <c r="W85" s="133" t="str">
        <f t="shared" si="26"/>
        <v>40%</v>
      </c>
      <c r="X85" s="132" t="s">
        <v>20</v>
      </c>
      <c r="Y85" s="132" t="s">
        <v>22</v>
      </c>
      <c r="Z85" s="132" t="s">
        <v>110</v>
      </c>
      <c r="AA85" s="134">
        <f t="shared" si="27"/>
        <v>0.36</v>
      </c>
      <c r="AB85" s="135" t="str">
        <f t="shared" si="28"/>
        <v>Baja</v>
      </c>
      <c r="AC85" s="136">
        <f t="shared" si="29"/>
        <v>0.36</v>
      </c>
      <c r="AD85" s="135" t="str">
        <f t="shared" si="30"/>
        <v>Mayor</v>
      </c>
      <c r="AE85" s="136">
        <f t="shared" si="31"/>
        <v>0.8</v>
      </c>
      <c r="AF85" s="137" t="str">
        <f t="shared" si="32"/>
        <v>Alto</v>
      </c>
      <c r="AG85" s="138" t="s">
        <v>122</v>
      </c>
      <c r="AH85" s="119" t="s">
        <v>457</v>
      </c>
      <c r="AI85" s="127" t="s">
        <v>260</v>
      </c>
      <c r="AJ85" s="143" t="s">
        <v>199</v>
      </c>
      <c r="AK85" s="143" t="s">
        <v>199</v>
      </c>
      <c r="AL85" s="126" t="s">
        <v>300</v>
      </c>
      <c r="AM85" s="140"/>
    </row>
    <row r="86" spans="1:39" s="163" customFormat="1" ht="151.5" customHeight="1" x14ac:dyDescent="0.35">
      <c r="A86" s="369"/>
      <c r="B86" s="371"/>
      <c r="C86" s="375"/>
      <c r="D86" s="375"/>
      <c r="E86" s="346"/>
      <c r="F86" s="346"/>
      <c r="G86" s="346"/>
      <c r="H86" s="341"/>
      <c r="I86" s="346"/>
      <c r="J86" s="348"/>
      <c r="K86" s="350"/>
      <c r="L86" s="353"/>
      <c r="M86" s="356"/>
      <c r="N86" s="142"/>
      <c r="O86" s="350"/>
      <c r="P86" s="353"/>
      <c r="Q86" s="343"/>
      <c r="R86" s="130">
        <v>2</v>
      </c>
      <c r="S86" s="98"/>
      <c r="T86" s="131" t="str">
        <f t="shared" ref="T86:T87" si="119">IF(OR(U86="Preventivo",U86="Detectivo"),"Probabilidad",IF(U86="Correctivo","Impacto",""))</f>
        <v/>
      </c>
      <c r="U86" s="132"/>
      <c r="V86" s="132"/>
      <c r="W86" s="133"/>
      <c r="X86" s="132"/>
      <c r="Y86" s="132"/>
      <c r="Z86" s="132"/>
      <c r="AA86" s="134" t="str">
        <f>IFERROR(IF(T86="Probabilidad",(AA85-(+AA85*W86)),IF(T86="Impacto",L86,"")),"")</f>
        <v/>
      </c>
      <c r="AB86" s="135" t="str">
        <f t="shared" ref="AB86:AB87" si="120">IFERROR(IF(AA86="","",IF(AA86&lt;=0.2,"Muy Baja",IF(AA86&lt;=0.4,"Baja",IF(AA86&lt;=0.6,"Media",IF(AA86&lt;=0.8,"Alta","Muy Alta"))))),"")</f>
        <v/>
      </c>
      <c r="AC86" s="136" t="str">
        <f t="shared" ref="AC86:AC87" si="121">+AA86</f>
        <v/>
      </c>
      <c r="AD86" s="135" t="str">
        <f t="shared" ref="AD86:AD87" si="122">IFERROR(IF(AE86="","",IF(AE86&lt;=0.2,"Leve",IF(AE86&lt;=0.4,"Menor",IF(AE86&lt;=0.6,"Moderado",IF(AE86&lt;=0.8,"Mayor","Catastrófico"))))),"")</f>
        <v/>
      </c>
      <c r="AE86" s="136" t="str">
        <f t="shared" ref="AE86:AE87" si="123">IFERROR(IF(T86="Impacto",(P86-(+P86*W86)),IF(T86="Probabilidad",P86,"")),"")</f>
        <v/>
      </c>
      <c r="AF86" s="137"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38"/>
      <c r="AH86" s="119"/>
      <c r="AI86" s="127"/>
      <c r="AJ86" s="143"/>
      <c r="AK86" s="143"/>
      <c r="AL86" s="119"/>
      <c r="AM86" s="140"/>
    </row>
    <row r="87" spans="1:39" s="163" customFormat="1" ht="151.5" customHeight="1" x14ac:dyDescent="0.35">
      <c r="A87" s="369"/>
      <c r="B87" s="372"/>
      <c r="C87" s="432"/>
      <c r="D87" s="375"/>
      <c r="E87" s="346"/>
      <c r="F87" s="346"/>
      <c r="G87" s="346"/>
      <c r="H87" s="341"/>
      <c r="I87" s="346"/>
      <c r="J87" s="348"/>
      <c r="K87" s="351"/>
      <c r="L87" s="354"/>
      <c r="M87" s="356"/>
      <c r="N87" s="142"/>
      <c r="O87" s="351"/>
      <c r="P87" s="354"/>
      <c r="Q87" s="344"/>
      <c r="R87" s="130">
        <v>3</v>
      </c>
      <c r="S87" s="98"/>
      <c r="T87" s="131" t="str">
        <f t="shared" si="119"/>
        <v/>
      </c>
      <c r="U87" s="132"/>
      <c r="V87" s="132"/>
      <c r="W87" s="133"/>
      <c r="X87" s="132"/>
      <c r="Y87" s="132"/>
      <c r="Z87" s="132"/>
      <c r="AA87" s="134" t="str">
        <f>IFERROR(IF(T87="Probabilidad",(AA86-(+AA86*W87)),IF(T87="Impacto",L87,"")),"")</f>
        <v/>
      </c>
      <c r="AB87" s="135" t="str">
        <f t="shared" si="120"/>
        <v/>
      </c>
      <c r="AC87" s="136" t="str">
        <f t="shared" si="121"/>
        <v/>
      </c>
      <c r="AD87" s="135" t="str">
        <f t="shared" si="122"/>
        <v/>
      </c>
      <c r="AE87" s="136" t="str">
        <f t="shared" si="123"/>
        <v/>
      </c>
      <c r="AF87" s="137" t="str">
        <f t="shared" si="124"/>
        <v/>
      </c>
      <c r="AG87" s="138"/>
      <c r="AH87" s="119"/>
      <c r="AI87" s="127"/>
      <c r="AJ87" s="143"/>
      <c r="AK87" s="143"/>
      <c r="AL87" s="119"/>
      <c r="AM87" s="140"/>
    </row>
    <row r="88" spans="1:39" s="163" customFormat="1" ht="176.5" customHeight="1" x14ac:dyDescent="0.35">
      <c r="A88" s="369">
        <v>29</v>
      </c>
      <c r="B88" s="370" t="s">
        <v>296</v>
      </c>
      <c r="C88" s="373" t="s">
        <v>295</v>
      </c>
      <c r="D88" s="373" t="s">
        <v>297</v>
      </c>
      <c r="E88" s="345" t="s">
        <v>118</v>
      </c>
      <c r="F88" s="345" t="s">
        <v>459</v>
      </c>
      <c r="G88" s="345" t="s">
        <v>460</v>
      </c>
      <c r="H88" s="340" t="s">
        <v>496</v>
      </c>
      <c r="I88" s="345" t="s">
        <v>328</v>
      </c>
      <c r="J88" s="347">
        <v>355</v>
      </c>
      <c r="K88" s="349" t="str">
        <f>IF(J88&lt;=0,"",IF(J88&lt;=2,"Muy Baja",IF(J88&lt;=24,"Baja",IF(J88&lt;=500,"Media",IF(J88&lt;=5000,"Alta","Muy Alta")))))</f>
        <v>Media</v>
      </c>
      <c r="L88" s="352">
        <f>IF(K88="","",IF(K88="Muy Baja",0.2,IF(K88="Baja",0.4,IF(K88="Media",0.6,IF(K88="Alta",0.8,IF(K88="Muy Alta",1,))))))</f>
        <v>0.6</v>
      </c>
      <c r="M88" s="355" t="s">
        <v>492</v>
      </c>
      <c r="N88" s="129"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49" t="str">
        <f>IF(OR(N88='Tabla Impacto'!$C$11,N88='Tabla Impacto'!$D$11),"Leve",IF(OR(N88='Tabla Impacto'!$C$12,N88='Tabla Impacto'!$D$12),"Menor",IF(OR(N88='Tabla Impacto'!$C$13,N88='Tabla Impacto'!$D$13),"Moderado",IF(OR(N88='Tabla Impacto'!$C$14,N88='Tabla Impacto'!$D$14),"Mayor",IF(OR(N88='Tabla Impacto'!$C$15,N88='Tabla Impacto'!$D$15),"Catastrófico","")))))</f>
        <v>Mayor</v>
      </c>
      <c r="P88" s="352">
        <f>IF(O88="","",IF(O88="Leve",0.2,IF(O88="Menor",0.4,IF(O88="Moderado",0.6,IF(O88="Mayor",0.8,IF(O88="Catastrófico",1,))))))</f>
        <v>0.8</v>
      </c>
      <c r="Q88" s="342"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30">
        <v>1</v>
      </c>
      <c r="S88" s="98" t="s">
        <v>461</v>
      </c>
      <c r="T88" s="131" t="str">
        <f t="shared" si="25"/>
        <v>Probabilidad</v>
      </c>
      <c r="U88" s="132" t="s">
        <v>14</v>
      </c>
      <c r="V88" s="132" t="s">
        <v>9</v>
      </c>
      <c r="W88" s="133" t="str">
        <f t="shared" si="26"/>
        <v>40%</v>
      </c>
      <c r="X88" s="132" t="s">
        <v>19</v>
      </c>
      <c r="Y88" s="132" t="s">
        <v>22</v>
      </c>
      <c r="Z88" s="132" t="s">
        <v>110</v>
      </c>
      <c r="AA88" s="160">
        <f t="shared" ref="AA88" si="125">IFERROR(IF(T88="Probabilidad",(L88-(+L88*W88)),IF(T88="Impacto",L88,"")),"")</f>
        <v>0.36</v>
      </c>
      <c r="AB88" s="135" t="str">
        <f t="shared" si="28"/>
        <v>Baja</v>
      </c>
      <c r="AC88" s="136">
        <f t="shared" si="29"/>
        <v>0.36</v>
      </c>
      <c r="AD88" s="135" t="str">
        <f t="shared" si="30"/>
        <v>Mayor</v>
      </c>
      <c r="AE88" s="136">
        <f t="shared" si="31"/>
        <v>0.8</v>
      </c>
      <c r="AF88" s="137" t="str">
        <f t="shared" si="32"/>
        <v>Alto</v>
      </c>
      <c r="AG88" s="138" t="s">
        <v>122</v>
      </c>
      <c r="AH88" s="119" t="s">
        <v>301</v>
      </c>
      <c r="AI88" s="121" t="s">
        <v>260</v>
      </c>
      <c r="AJ88" s="128" t="s">
        <v>199</v>
      </c>
      <c r="AK88" s="128" t="s">
        <v>199</v>
      </c>
      <c r="AL88" s="126" t="s">
        <v>400</v>
      </c>
      <c r="AM88" s="140"/>
    </row>
    <row r="89" spans="1:39" s="163" customFormat="1" ht="151.5" customHeight="1" x14ac:dyDescent="0.35">
      <c r="A89" s="369"/>
      <c r="B89" s="371"/>
      <c r="C89" s="375"/>
      <c r="D89" s="375"/>
      <c r="E89" s="346"/>
      <c r="F89" s="346"/>
      <c r="G89" s="346"/>
      <c r="H89" s="341"/>
      <c r="I89" s="346"/>
      <c r="J89" s="348"/>
      <c r="K89" s="350"/>
      <c r="L89" s="353"/>
      <c r="M89" s="356"/>
      <c r="N89" s="142"/>
      <c r="O89" s="350"/>
      <c r="P89" s="353"/>
      <c r="Q89" s="343"/>
      <c r="R89" s="130">
        <v>2</v>
      </c>
      <c r="S89" s="119" t="s">
        <v>343</v>
      </c>
      <c r="T89" s="158" t="str">
        <f t="shared" ref="T89:T90" si="126">IF(OR(U89="Preventivo",U89="Detectivo"),"Probabilidad",IF(U89="Correctivo","Impacto",""))</f>
        <v/>
      </c>
      <c r="U89" s="146" t="s">
        <v>332</v>
      </c>
      <c r="V89" s="146" t="s">
        <v>9</v>
      </c>
      <c r="W89" s="147" t="str">
        <f t="shared" ref="W89" si="127">IF(AND(U89="Preventivo",V89="Automático"),"50%",IF(AND(U89="Preventivo",V89="Manual"),"40%",IF(AND(U89="Detectivo",V89="Automático"),"40%",IF(AND(U89="Detectivo",V89="Manual"),"30%",IF(AND(U89="Correctivo",V89="Automático"),"35%",IF(AND(U89="Correctivo",V89="Manual"),"25%",""))))))</f>
        <v/>
      </c>
      <c r="X89" s="146" t="s">
        <v>20</v>
      </c>
      <c r="Y89" s="146" t="s">
        <v>22</v>
      </c>
      <c r="Z89" s="146" t="s">
        <v>110</v>
      </c>
      <c r="AA89" s="161" t="str">
        <f>IFERROR(IF(T89="Probabilidad",(AA88-(+AA88*W89)),IF(T89="Impacto",L89,"")),"")</f>
        <v/>
      </c>
      <c r="AB89" s="135" t="str">
        <f t="shared" ref="AB89:AB90" si="128">IFERROR(IF(AA89="","",IF(AA89&lt;=0.2,"Muy Baja",IF(AA89&lt;=0.4,"Baja",IF(AA89&lt;=0.6,"Media",IF(AA89&lt;=0.8,"Alta","Muy Alta"))))),"")</f>
        <v/>
      </c>
      <c r="AC89" s="149" t="str">
        <f t="shared" ref="AC89:AC90" si="129">+AA89</f>
        <v/>
      </c>
      <c r="AD89" s="135" t="str">
        <f t="shared" ref="AD89:AD90" si="130">IFERROR(IF(AE89="","",IF(AE89&lt;=0.2,"Leve",IF(AE89&lt;=0.4,"Menor",IF(AE89&lt;=0.6,"Moderado",IF(AE89&lt;=0.8,"Mayor","Catastrófico"))))),"")</f>
        <v/>
      </c>
      <c r="AE89" s="149" t="str">
        <f t="shared" ref="AE89:AE90" si="131">IFERROR(IF(T89="Impacto",(P89-(+P89*W89)),IF(T89="Probabilidad",P89,"")),"")</f>
        <v/>
      </c>
      <c r="AF89" s="150" t="str">
        <f t="shared" ref="AF89:AF90" si="132">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51" t="s">
        <v>122</v>
      </c>
      <c r="AH89" s="119" t="s">
        <v>301</v>
      </c>
      <c r="AI89" s="121" t="s">
        <v>260</v>
      </c>
      <c r="AJ89" s="128" t="s">
        <v>199</v>
      </c>
      <c r="AK89" s="128" t="s">
        <v>199</v>
      </c>
      <c r="AL89" s="126" t="s">
        <v>400</v>
      </c>
      <c r="AM89" s="140"/>
    </row>
    <row r="90" spans="1:39" s="163" customFormat="1" ht="151.5" customHeight="1" x14ac:dyDescent="0.35">
      <c r="A90" s="369"/>
      <c r="B90" s="372"/>
      <c r="C90" s="432"/>
      <c r="D90" s="375"/>
      <c r="E90" s="346"/>
      <c r="F90" s="346"/>
      <c r="G90" s="346"/>
      <c r="H90" s="341"/>
      <c r="I90" s="346"/>
      <c r="J90" s="348"/>
      <c r="K90" s="351"/>
      <c r="L90" s="354"/>
      <c r="M90" s="356"/>
      <c r="N90" s="142"/>
      <c r="O90" s="351"/>
      <c r="P90" s="354"/>
      <c r="Q90" s="344"/>
      <c r="R90" s="130">
        <v>3</v>
      </c>
      <c r="S90" s="98"/>
      <c r="T90" s="131" t="str">
        <f t="shared" si="126"/>
        <v/>
      </c>
      <c r="U90" s="132"/>
      <c r="V90" s="132"/>
      <c r="W90" s="133"/>
      <c r="X90" s="132"/>
      <c r="Y90" s="132"/>
      <c r="Z90" s="132"/>
      <c r="AA90" s="134" t="str">
        <f>IFERROR(IF(T90="Probabilidad",(AA89-(+AA89*W90)),IF(T90="Impacto",L90,"")),"")</f>
        <v/>
      </c>
      <c r="AB90" s="135" t="str">
        <f t="shared" si="128"/>
        <v/>
      </c>
      <c r="AC90" s="136" t="str">
        <f t="shared" si="129"/>
        <v/>
      </c>
      <c r="AD90" s="135" t="str">
        <f t="shared" si="130"/>
        <v/>
      </c>
      <c r="AE90" s="136" t="str">
        <f t="shared" si="131"/>
        <v/>
      </c>
      <c r="AF90" s="137" t="str">
        <f t="shared" si="132"/>
        <v/>
      </c>
      <c r="AG90" s="138"/>
      <c r="AH90" s="119"/>
      <c r="AI90" s="127"/>
      <c r="AJ90" s="143"/>
      <c r="AK90" s="143"/>
      <c r="AL90" s="119"/>
      <c r="AM90" s="140"/>
    </row>
    <row r="91" spans="1:39" s="163" customFormat="1" ht="151.5" customHeight="1" x14ac:dyDescent="0.35">
      <c r="A91" s="369">
        <v>30</v>
      </c>
      <c r="B91" s="370" t="s">
        <v>302</v>
      </c>
      <c r="C91" s="373" t="s">
        <v>358</v>
      </c>
      <c r="D91" s="373" t="s">
        <v>401</v>
      </c>
      <c r="E91" s="345" t="s">
        <v>120</v>
      </c>
      <c r="F91" s="398" t="s">
        <v>463</v>
      </c>
      <c r="G91" s="398" t="s">
        <v>462</v>
      </c>
      <c r="H91" s="340" t="s">
        <v>303</v>
      </c>
      <c r="I91" s="345" t="s">
        <v>328</v>
      </c>
      <c r="J91" s="347">
        <v>850</v>
      </c>
      <c r="K91" s="349" t="str">
        <f>IF(J91&lt;=0,"",IF(J91&lt;=2,"Muy Baja",IF(J91&lt;=24,"Baja",IF(J91&lt;=500,"Media",IF(J91&lt;=5000,"Alta","Muy Alta")))))</f>
        <v>Alta</v>
      </c>
      <c r="L91" s="352">
        <f>IF(K91="","",IF(K91="Muy Baja",0.2,IF(K91="Baja",0.4,IF(K91="Media",0.6,IF(K91="Alta",0.8,IF(K91="Muy Alta",1,))))))</f>
        <v>0.8</v>
      </c>
      <c r="M91" s="355" t="s">
        <v>492</v>
      </c>
      <c r="N91" s="129"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49" t="str">
        <f>IF(OR(N91='Tabla Impacto'!$C$11,N91='Tabla Impacto'!$D$11),"Leve",IF(OR(N91='Tabla Impacto'!$C$12,N91='Tabla Impacto'!$D$12),"Menor",IF(OR(N91='Tabla Impacto'!$C$13,N91='Tabla Impacto'!$D$13),"Moderado",IF(OR(N91='Tabla Impacto'!$C$14,N91='Tabla Impacto'!$D$14),"Mayor",IF(OR(N91='Tabla Impacto'!$C$15,N91='Tabla Impacto'!$D$15),"Catastrófico","")))))</f>
        <v>Mayor</v>
      </c>
      <c r="P91" s="352">
        <f>IF(O91="","",IF(O91="Leve",0.2,IF(O91="Menor",0.4,IF(O91="Moderado",0.6,IF(O91="Mayor",0.8,IF(O91="Catastrófico",1,))))))</f>
        <v>0.8</v>
      </c>
      <c r="Q91" s="342"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30">
        <v>1</v>
      </c>
      <c r="S91" s="98" t="s">
        <v>304</v>
      </c>
      <c r="T91" s="131" t="str">
        <f t="shared" ref="T91:T93" si="133">IF(OR(U91="Preventivo",U91="Detectivo"),"Probabilidad",IF(U91="Correctivo","Impacto",""))</f>
        <v>Probabilidad</v>
      </c>
      <c r="U91" s="132" t="s">
        <v>14</v>
      </c>
      <c r="V91" s="132" t="s">
        <v>9</v>
      </c>
      <c r="W91" s="133" t="str">
        <f t="shared" ref="W91:W92" si="134">IF(AND(U91="Preventivo",V91="Automático"),"50%",IF(AND(U91="Preventivo",V91="Manual"),"40%",IF(AND(U91="Detectivo",V91="Automático"),"40%",IF(AND(U91="Detectivo",V91="Manual"),"30%",IF(AND(U91="Correctivo",V91="Automático"),"35%",IF(AND(U91="Correctivo",V91="Manual"),"25%",""))))))</f>
        <v>40%</v>
      </c>
      <c r="X91" s="132" t="s">
        <v>20</v>
      </c>
      <c r="Y91" s="132" t="s">
        <v>22</v>
      </c>
      <c r="Z91" s="132" t="s">
        <v>110</v>
      </c>
      <c r="AA91" s="134">
        <f t="shared" ref="AA91" si="135">IFERROR(IF(T91="Probabilidad",(L91-(+L91*W91)),IF(T91="Impacto",L91,"")),"")</f>
        <v>0.48</v>
      </c>
      <c r="AB91" s="135" t="str">
        <f t="shared" ref="AB91:AB93" si="136">IFERROR(IF(AA91="","",IF(AA91&lt;=0.2,"Muy Baja",IF(AA91&lt;=0.4,"Baja",IF(AA91&lt;=0.6,"Media",IF(AA91&lt;=0.8,"Alta","Muy Alta"))))),"")</f>
        <v>Media</v>
      </c>
      <c r="AC91" s="136">
        <f t="shared" ref="AC91:AC93" si="137">+AA91</f>
        <v>0.48</v>
      </c>
      <c r="AD91" s="135" t="str">
        <f t="shared" ref="AD91:AD93" si="138">IFERROR(IF(AE91="","",IF(AE91&lt;=0.2,"Leve",IF(AE91&lt;=0.4,"Menor",IF(AE91&lt;=0.6,"Moderado",IF(AE91&lt;=0.8,"Mayor","Catastrófico"))))),"")</f>
        <v>Mayor</v>
      </c>
      <c r="AE91" s="136">
        <f t="shared" ref="AE91:AE93" si="139">IFERROR(IF(T91="Impacto",(P91-(+P91*W91)),IF(T91="Probabilidad",P91,"")),"")</f>
        <v>0.8</v>
      </c>
      <c r="AF91" s="137" t="str">
        <f t="shared" ref="AF91:AF93" si="140">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38" t="s">
        <v>122</v>
      </c>
      <c r="AH91" s="162" t="s">
        <v>306</v>
      </c>
      <c r="AI91" s="127" t="s">
        <v>198</v>
      </c>
      <c r="AJ91" s="128">
        <v>44562</v>
      </c>
      <c r="AK91" s="128" t="s">
        <v>373</v>
      </c>
      <c r="AL91" s="119" t="s">
        <v>307</v>
      </c>
      <c r="AM91" s="140"/>
    </row>
    <row r="92" spans="1:39" s="163" customFormat="1" ht="151.5" customHeight="1" x14ac:dyDescent="0.35">
      <c r="A92" s="369"/>
      <c r="B92" s="371"/>
      <c r="C92" s="375"/>
      <c r="D92" s="375"/>
      <c r="E92" s="346"/>
      <c r="F92" s="346"/>
      <c r="G92" s="346"/>
      <c r="H92" s="341"/>
      <c r="I92" s="346"/>
      <c r="J92" s="348"/>
      <c r="K92" s="350"/>
      <c r="L92" s="353"/>
      <c r="M92" s="356"/>
      <c r="N92" s="142"/>
      <c r="O92" s="350"/>
      <c r="P92" s="353"/>
      <c r="Q92" s="343"/>
      <c r="R92" s="130">
        <v>2</v>
      </c>
      <c r="S92" s="98" t="s">
        <v>305</v>
      </c>
      <c r="T92" s="131" t="str">
        <f t="shared" si="133"/>
        <v>Probabilidad</v>
      </c>
      <c r="U92" s="132" t="s">
        <v>14</v>
      </c>
      <c r="V92" s="132" t="s">
        <v>9</v>
      </c>
      <c r="W92" s="133" t="str">
        <f t="shared" si="134"/>
        <v>40%</v>
      </c>
      <c r="X92" s="132" t="s">
        <v>20</v>
      </c>
      <c r="Y92" s="132" t="s">
        <v>22</v>
      </c>
      <c r="Z92" s="132" t="s">
        <v>110</v>
      </c>
      <c r="AA92" s="134">
        <f>IFERROR(IF(T92="Probabilidad",(AA91-(+AA91*W92)),IF(T92="Impacto",L92,"")),"")</f>
        <v>0.28799999999999998</v>
      </c>
      <c r="AB92" s="135" t="str">
        <f t="shared" si="136"/>
        <v>Baja</v>
      </c>
      <c r="AC92" s="136">
        <f t="shared" si="137"/>
        <v>0.28799999999999998</v>
      </c>
      <c r="AD92" s="135" t="str">
        <f t="shared" si="138"/>
        <v>Mayor</v>
      </c>
      <c r="AE92" s="136">
        <v>0.8</v>
      </c>
      <c r="AF92" s="137" t="str">
        <f t="shared" si="140"/>
        <v>Alto</v>
      </c>
      <c r="AG92" s="138" t="s">
        <v>122</v>
      </c>
      <c r="AH92" s="126" t="s">
        <v>308</v>
      </c>
      <c r="AI92" s="121" t="s">
        <v>198</v>
      </c>
      <c r="AJ92" s="128">
        <v>44562</v>
      </c>
      <c r="AK92" s="128" t="s">
        <v>373</v>
      </c>
      <c r="AL92" s="126" t="s">
        <v>307</v>
      </c>
      <c r="AM92" s="140"/>
    </row>
    <row r="93" spans="1:39" s="163" customFormat="1" ht="151.5" customHeight="1" x14ac:dyDescent="0.35">
      <c r="A93" s="393"/>
      <c r="B93" s="372"/>
      <c r="C93" s="375"/>
      <c r="D93" s="375"/>
      <c r="E93" s="346"/>
      <c r="F93" s="346"/>
      <c r="G93" s="346"/>
      <c r="H93" s="341"/>
      <c r="I93" s="346"/>
      <c r="J93" s="348"/>
      <c r="K93" s="351"/>
      <c r="L93" s="354"/>
      <c r="M93" s="356"/>
      <c r="N93" s="142"/>
      <c r="O93" s="351"/>
      <c r="P93" s="354"/>
      <c r="Q93" s="344"/>
      <c r="R93" s="130">
        <v>3</v>
      </c>
      <c r="S93" s="98"/>
      <c r="T93" s="131" t="str">
        <f t="shared" si="133"/>
        <v/>
      </c>
      <c r="U93" s="132"/>
      <c r="V93" s="132"/>
      <c r="W93" s="133"/>
      <c r="X93" s="132"/>
      <c r="Y93" s="132"/>
      <c r="Z93" s="132"/>
      <c r="AA93" s="134" t="str">
        <f>IFERROR(IF(T93="Probabilidad",(AA92-(+AA92*W93)),IF(T93="Impacto",L93,"")),"")</f>
        <v/>
      </c>
      <c r="AB93" s="135" t="str">
        <f t="shared" si="136"/>
        <v/>
      </c>
      <c r="AC93" s="136" t="str">
        <f t="shared" si="137"/>
        <v/>
      </c>
      <c r="AD93" s="135" t="str">
        <f t="shared" si="138"/>
        <v/>
      </c>
      <c r="AE93" s="136" t="str">
        <f t="shared" si="139"/>
        <v/>
      </c>
      <c r="AF93" s="137" t="str">
        <f t="shared" si="140"/>
        <v/>
      </c>
      <c r="AG93" s="138"/>
      <c r="AH93" s="119"/>
      <c r="AI93" s="127"/>
      <c r="AJ93" s="143"/>
      <c r="AK93" s="143"/>
      <c r="AL93" s="119"/>
      <c r="AM93" s="140"/>
    </row>
    <row r="94" spans="1:39" s="163" customFormat="1" ht="151.5" customHeight="1" x14ac:dyDescent="0.35">
      <c r="A94" s="431">
        <v>31</v>
      </c>
      <c r="B94" s="419" t="s">
        <v>309</v>
      </c>
      <c r="C94" s="417" t="s">
        <v>359</v>
      </c>
      <c r="D94" s="417" t="s">
        <v>402</v>
      </c>
      <c r="E94" s="406" t="s">
        <v>118</v>
      </c>
      <c r="F94" s="426" t="s">
        <v>588</v>
      </c>
      <c r="G94" s="426" t="s">
        <v>471</v>
      </c>
      <c r="H94" s="423" t="s">
        <v>589</v>
      </c>
      <c r="I94" s="406" t="s">
        <v>328</v>
      </c>
      <c r="J94" s="404">
        <v>12</v>
      </c>
      <c r="K94" s="409" t="str">
        <f>IF(J94&lt;=0,"",IF(J94&lt;=2,"Muy Baja",IF(J94&lt;=24,"Baja",IF(J94&lt;=500,"Media",IF(J94&lt;=5000,"Alta","Muy Alta")))))</f>
        <v>Baja</v>
      </c>
      <c r="L94" s="412">
        <f>IF(K94="","",IF(K94="Muy Baja",0.2,IF(K94="Baja",0.4,IF(K94="Media",0.6,IF(K94="Alta",0.8,IF(K94="Muy Alta",1,))))))</f>
        <v>0.4</v>
      </c>
      <c r="M94" s="415" t="s">
        <v>485</v>
      </c>
      <c r="N94" s="177"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409" t="str">
        <f>IF(OR(N94='Tabla Impacto'!$C$11,N94='Tabla Impacto'!$D$11),"Leve",IF(OR(N94='Tabla Impacto'!$C$12,N94='Tabla Impacto'!$D$12),"Menor",IF(OR(N94='Tabla Impacto'!$C$13,N94='Tabla Impacto'!$D$13),"Moderado",IF(OR(N94='Tabla Impacto'!$C$14,N94='Tabla Impacto'!$D$14),"Mayor",IF(OR(N94='Tabla Impacto'!$C$15,N94='Tabla Impacto'!$D$15),"Catastrófico","")))))</f>
        <v>Moderado</v>
      </c>
      <c r="P94" s="412">
        <f>IF(O94="","",IF(O94="Leve",0.2,IF(O94="Menor",0.4,IF(O94="Moderado",0.6,IF(O94="Mayor",0.8,IF(O94="Catastrófico",1,))))))</f>
        <v>0.6</v>
      </c>
      <c r="Q94" s="428"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78">
        <v>1</v>
      </c>
      <c r="S94" s="174" t="s">
        <v>581</v>
      </c>
      <c r="T94" s="175" t="str">
        <f t="shared" si="25"/>
        <v>Probabilidad</v>
      </c>
      <c r="U94" s="179" t="s">
        <v>14</v>
      </c>
      <c r="V94" s="179" t="s">
        <v>9</v>
      </c>
      <c r="W94" s="180" t="str">
        <f t="shared" si="26"/>
        <v>40%</v>
      </c>
      <c r="X94" s="179" t="s">
        <v>19</v>
      </c>
      <c r="Y94" s="179" t="s">
        <v>22</v>
      </c>
      <c r="Z94" s="179" t="s">
        <v>110</v>
      </c>
      <c r="AA94" s="154">
        <f t="shared" si="27"/>
        <v>0.24</v>
      </c>
      <c r="AB94" s="168" t="str">
        <f t="shared" si="28"/>
        <v>Baja</v>
      </c>
      <c r="AC94" s="169">
        <f t="shared" si="29"/>
        <v>0.24</v>
      </c>
      <c r="AD94" s="168" t="str">
        <f t="shared" si="30"/>
        <v>Moderado</v>
      </c>
      <c r="AE94" s="169">
        <f t="shared" si="31"/>
        <v>0.6</v>
      </c>
      <c r="AF94" s="170" t="str">
        <f t="shared" si="32"/>
        <v>Moderado</v>
      </c>
      <c r="AG94" s="171" t="s">
        <v>122</v>
      </c>
      <c r="AH94" s="191" t="s">
        <v>583</v>
      </c>
      <c r="AI94" s="164" t="s">
        <v>582</v>
      </c>
      <c r="AJ94" s="165" t="s">
        <v>286</v>
      </c>
      <c r="AK94" s="165" t="s">
        <v>287</v>
      </c>
      <c r="AL94" s="174" t="s">
        <v>590</v>
      </c>
      <c r="AM94" s="164"/>
    </row>
    <row r="95" spans="1:39" s="163" customFormat="1" ht="151.5" customHeight="1" x14ac:dyDescent="0.35">
      <c r="A95" s="422"/>
      <c r="B95" s="420"/>
      <c r="C95" s="418"/>
      <c r="D95" s="418"/>
      <c r="E95" s="407"/>
      <c r="F95" s="433"/>
      <c r="G95" s="433"/>
      <c r="H95" s="424"/>
      <c r="I95" s="407"/>
      <c r="J95" s="405"/>
      <c r="K95" s="410"/>
      <c r="L95" s="413"/>
      <c r="M95" s="416"/>
      <c r="N95" s="184"/>
      <c r="O95" s="410"/>
      <c r="P95" s="413"/>
      <c r="Q95" s="429"/>
      <c r="R95" s="178">
        <v>2</v>
      </c>
      <c r="S95" s="174"/>
      <c r="T95" s="175"/>
      <c r="U95" s="179"/>
      <c r="V95" s="179"/>
      <c r="W95" s="180"/>
      <c r="X95" s="179"/>
      <c r="Y95" s="179"/>
      <c r="Z95" s="179"/>
      <c r="AA95" s="154"/>
      <c r="AB95" s="168"/>
      <c r="AC95" s="169"/>
      <c r="AD95" s="168"/>
      <c r="AE95" s="169"/>
      <c r="AF95" s="170"/>
      <c r="AG95" s="171"/>
      <c r="AH95" s="191"/>
      <c r="AI95" s="192"/>
      <c r="AJ95" s="165"/>
      <c r="AK95" s="165"/>
      <c r="AL95" s="174"/>
      <c r="AM95" s="164"/>
    </row>
    <row r="96" spans="1:39" s="163" customFormat="1" ht="151.5" customHeight="1" x14ac:dyDescent="0.35">
      <c r="A96" s="422"/>
      <c r="B96" s="420"/>
      <c r="C96" s="425"/>
      <c r="D96" s="425"/>
      <c r="E96" s="407"/>
      <c r="F96" s="407"/>
      <c r="G96" s="407"/>
      <c r="H96" s="424"/>
      <c r="I96" s="407"/>
      <c r="J96" s="405"/>
      <c r="K96" s="410"/>
      <c r="L96" s="413"/>
      <c r="M96" s="416"/>
      <c r="N96" s="184"/>
      <c r="O96" s="410"/>
      <c r="P96" s="413"/>
      <c r="Q96" s="429"/>
      <c r="R96" s="238">
        <v>3</v>
      </c>
      <c r="S96" s="174"/>
      <c r="T96" s="175"/>
      <c r="U96" s="179"/>
      <c r="V96" s="179"/>
      <c r="W96" s="180"/>
      <c r="X96" s="179"/>
      <c r="Y96" s="179"/>
      <c r="Z96" s="179"/>
      <c r="AA96" s="154"/>
      <c r="AB96" s="168"/>
      <c r="AC96" s="169"/>
      <c r="AD96" s="168"/>
      <c r="AE96" s="169"/>
      <c r="AF96" s="170"/>
      <c r="AG96" s="171"/>
      <c r="AH96" s="191"/>
      <c r="AI96" s="164"/>
      <c r="AJ96" s="165"/>
      <c r="AK96" s="165"/>
      <c r="AL96" s="174"/>
      <c r="AM96" s="164"/>
    </row>
    <row r="97" spans="1:39" s="163" customFormat="1" ht="151.5" customHeight="1" x14ac:dyDescent="0.35">
      <c r="A97" s="422">
        <v>32</v>
      </c>
      <c r="B97" s="444" t="s">
        <v>309</v>
      </c>
      <c r="C97" s="444" t="s">
        <v>353</v>
      </c>
      <c r="D97" s="444" t="s">
        <v>402</v>
      </c>
      <c r="E97" s="406" t="s">
        <v>118</v>
      </c>
      <c r="F97" s="406" t="s">
        <v>519</v>
      </c>
      <c r="G97" s="406" t="s">
        <v>520</v>
      </c>
      <c r="H97" s="423" t="s">
        <v>521</v>
      </c>
      <c r="I97" s="423" t="s">
        <v>328</v>
      </c>
      <c r="J97" s="447">
        <v>1096</v>
      </c>
      <c r="K97" s="409" t="str">
        <f>IF(J97&lt;=0,"",IF(J97&lt;=2,"Muy Baja",IF(J97&lt;=24,"Baja",IF(J97&lt;=500,"Media",IF(J97&lt;=5000,"Alta","Muy Alta")))))</f>
        <v>Alta</v>
      </c>
      <c r="L97" s="412">
        <f>IF(K97="","",IF(K97="Muy Baja",0.2,IF(K97="Baja",0.4,IF(K97="Media",0.6,IF(K97="Alta",0.8,IF(K97="Muy Alta",1,))))))</f>
        <v>0.8</v>
      </c>
      <c r="M97" s="434" t="s">
        <v>485</v>
      </c>
      <c r="N97" s="412"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409"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412">
        <f>IF(O97="","",IF(O97="Leve",0.2,IF(O97="Menor",0.4,IF(O97="Moderado",0.6,IF(O97="Mayor",0.8,IF(O97="Catastrófico",1,))))))</f>
        <v>0.6</v>
      </c>
      <c r="Q97" s="428"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73">
        <v>1</v>
      </c>
      <c r="S97" s="174" t="s">
        <v>584</v>
      </c>
      <c r="T97" s="222" t="str">
        <f t="shared" ref="T97" si="141">IF(OR(U97="Preventivo",U97="Detectivo"),"Probabilidad",IF(U97="Correctivo","Impacto",""))</f>
        <v>Probabilidad</v>
      </c>
      <c r="U97" s="223" t="s">
        <v>14</v>
      </c>
      <c r="V97" s="223" t="s">
        <v>9</v>
      </c>
      <c r="W97" s="224" t="str">
        <f t="shared" ref="W97" si="142">IF(AND(U97="Preventivo",V97="Automático"),"50%",IF(AND(U97="Preventivo",V97="Manual"),"40%",IF(AND(U97="Detectivo",V97="Automático"),"40%",IF(AND(U97="Detectivo",V97="Manual"),"30%",IF(AND(U97="Correctivo",V97="Automático"),"35%",IF(AND(U97="Correctivo",V97="Manual"),"25%",""))))))</f>
        <v>40%</v>
      </c>
      <c r="X97" s="223" t="s">
        <v>20</v>
      </c>
      <c r="Y97" s="223" t="s">
        <v>22</v>
      </c>
      <c r="Z97" s="223" t="s">
        <v>110</v>
      </c>
      <c r="AA97" s="225">
        <f t="shared" ref="AA97" si="143">IFERROR(IF(T97="Probabilidad",(L97-(+L97*W97)),IF(T97="Impacto",L97,"")),"")</f>
        <v>0.48</v>
      </c>
      <c r="AB97" s="226" t="str">
        <f t="shared" ref="AB97" si="144">IFERROR(IF(AA97="","",IF(AA97&lt;=0.2,"Muy Baja",IF(AA97&lt;=0.4,"Baja",IF(AA97&lt;=0.6,"Media",IF(AA97&lt;=0.8,"Alta","Muy Alta"))))),"")</f>
        <v>Media</v>
      </c>
      <c r="AC97" s="227">
        <f t="shared" ref="AC97" si="145">+AA97</f>
        <v>0.48</v>
      </c>
      <c r="AD97" s="226" t="str">
        <f t="shared" ref="AD97" si="146">IFERROR(IF(AE97="","",IF(AE97&lt;=0.2,"Leve",IF(AE97&lt;=0.4,"Menor",IF(AE97&lt;=0.6,"Moderado",IF(AE97&lt;=0.8,"Mayor","Catastrófico"))))),"")</f>
        <v>Moderado</v>
      </c>
      <c r="AE97" s="227">
        <f t="shared" ref="AE97" si="147">IFERROR(IF(T97="Impacto",(P97-(+P97*W97)),IF(T97="Probabilidad",P97,"")),"")</f>
        <v>0.6</v>
      </c>
      <c r="AF97" s="228" t="str">
        <f t="shared" ref="AF97" si="148">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29" t="s">
        <v>122</v>
      </c>
      <c r="AH97" s="172" t="s">
        <v>585</v>
      </c>
      <c r="AI97" s="164" t="s">
        <v>582</v>
      </c>
      <c r="AJ97" s="165" t="s">
        <v>286</v>
      </c>
      <c r="AK97" s="165" t="s">
        <v>287</v>
      </c>
      <c r="AL97" s="166" t="s">
        <v>472</v>
      </c>
      <c r="AM97" s="164"/>
    </row>
    <row r="98" spans="1:39" s="163" customFormat="1" ht="151.5" customHeight="1" x14ac:dyDescent="0.35">
      <c r="A98" s="422"/>
      <c r="B98" s="445"/>
      <c r="C98" s="445"/>
      <c r="D98" s="445"/>
      <c r="E98" s="407"/>
      <c r="F98" s="407"/>
      <c r="G98" s="407"/>
      <c r="H98" s="424"/>
      <c r="I98" s="424"/>
      <c r="J98" s="448"/>
      <c r="K98" s="410"/>
      <c r="L98" s="413"/>
      <c r="M98" s="435"/>
      <c r="N98" s="413"/>
      <c r="O98" s="410"/>
      <c r="P98" s="413"/>
      <c r="Q98" s="429"/>
      <c r="R98" s="173">
        <v>2</v>
      </c>
      <c r="S98" s="174"/>
      <c r="T98" s="175"/>
      <c r="U98" s="167"/>
      <c r="V98" s="167"/>
      <c r="W98" s="176"/>
      <c r="X98" s="167"/>
      <c r="Y98" s="167"/>
      <c r="Z98" s="167"/>
      <c r="AA98" s="154"/>
      <c r="AB98" s="168"/>
      <c r="AC98" s="169"/>
      <c r="AD98" s="168"/>
      <c r="AE98" s="169"/>
      <c r="AF98" s="170"/>
      <c r="AG98" s="171"/>
      <c r="AH98" s="172"/>
      <c r="AI98" s="164"/>
      <c r="AJ98" s="165"/>
      <c r="AK98" s="165"/>
      <c r="AL98" s="166"/>
      <c r="AM98" s="164"/>
    </row>
    <row r="99" spans="1:39" s="163" customFormat="1" ht="151.5" customHeight="1" x14ac:dyDescent="0.35">
      <c r="A99" s="422"/>
      <c r="B99" s="446"/>
      <c r="C99" s="446"/>
      <c r="D99" s="446"/>
      <c r="E99" s="440"/>
      <c r="F99" s="440"/>
      <c r="G99" s="440"/>
      <c r="H99" s="441"/>
      <c r="I99" s="441"/>
      <c r="J99" s="449"/>
      <c r="K99" s="411"/>
      <c r="L99" s="414"/>
      <c r="M99" s="436"/>
      <c r="N99" s="414"/>
      <c r="O99" s="411"/>
      <c r="P99" s="414"/>
      <c r="Q99" s="430"/>
      <c r="R99" s="173">
        <v>3</v>
      </c>
      <c r="S99" s="174"/>
      <c r="T99" s="175"/>
      <c r="U99" s="167"/>
      <c r="V99" s="167"/>
      <c r="W99" s="176"/>
      <c r="X99" s="167"/>
      <c r="Y99" s="167"/>
      <c r="Z99" s="167"/>
      <c r="AA99" s="154"/>
      <c r="AB99" s="168"/>
      <c r="AC99" s="169"/>
      <c r="AD99" s="168"/>
      <c r="AE99" s="169"/>
      <c r="AF99" s="170"/>
      <c r="AG99" s="171"/>
      <c r="AH99" s="172"/>
      <c r="AI99" s="164"/>
      <c r="AJ99" s="165"/>
      <c r="AK99" s="165"/>
      <c r="AL99" s="166"/>
      <c r="AM99" s="164"/>
    </row>
    <row r="100" spans="1:39" s="163" customFormat="1" ht="151.5" customHeight="1" x14ac:dyDescent="0.35">
      <c r="A100" s="422">
        <v>33</v>
      </c>
      <c r="B100" s="419" t="s">
        <v>310</v>
      </c>
      <c r="C100" s="417" t="s">
        <v>360</v>
      </c>
      <c r="D100" s="417" t="s">
        <v>403</v>
      </c>
      <c r="E100" s="406" t="s">
        <v>118</v>
      </c>
      <c r="F100" s="406" t="s">
        <v>311</v>
      </c>
      <c r="G100" s="406" t="s">
        <v>465</v>
      </c>
      <c r="H100" s="423" t="s">
        <v>464</v>
      </c>
      <c r="I100" s="406" t="s">
        <v>117</v>
      </c>
      <c r="J100" s="404">
        <v>365</v>
      </c>
      <c r="K100" s="409" t="str">
        <f>IF(J100&lt;=0,"",IF(J100&lt;=2,"Muy Baja",IF(J100&lt;=24,"Baja",IF(J100&lt;=500,"Media",IF(J100&lt;=5000,"Alta","Muy Alta")))))</f>
        <v>Media</v>
      </c>
      <c r="L100" s="412">
        <f>IF(K100="","",IF(K100="Muy Baja",0.2,IF(K100="Baja",0.4,IF(K100="Media",0.6,IF(K100="Alta",0.8,IF(K100="Muy Alta",1,))))))</f>
        <v>0.6</v>
      </c>
      <c r="M100" s="415" t="s">
        <v>485</v>
      </c>
      <c r="N100" s="177"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09"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12">
        <f>IF(O100="","",IF(O100="Leve",0.2,IF(O100="Menor",0.4,IF(O100="Moderado",0.6,IF(O100="Mayor",0.8,IF(O100="Catastrófico",1,))))))</f>
        <v>0.6</v>
      </c>
      <c r="Q100" s="428"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78">
        <v>1</v>
      </c>
      <c r="S100" s="174" t="s">
        <v>344</v>
      </c>
      <c r="T100" s="175" t="str">
        <f t="shared" ref="T100:T102" si="149">IF(OR(U100="Preventivo",U100="Detectivo"),"Probabilidad",IF(U100="Correctivo","Impacto",""))</f>
        <v>Probabilidad</v>
      </c>
      <c r="U100" s="179" t="s">
        <v>15</v>
      </c>
      <c r="V100" s="179" t="s">
        <v>9</v>
      </c>
      <c r="W100" s="180" t="str">
        <f t="shared" ref="W100:W101" si="150">IF(AND(U100="Preventivo",V100="Automático"),"50%",IF(AND(U100="Preventivo",V100="Manual"),"40%",IF(AND(U100="Detectivo",V100="Automático"),"40%",IF(AND(U100="Detectivo",V100="Manual"),"30%",IF(AND(U100="Correctivo",V100="Automático"),"35%",IF(AND(U100="Correctivo",V100="Manual"),"25%",""))))))</f>
        <v>30%</v>
      </c>
      <c r="X100" s="179" t="s">
        <v>19</v>
      </c>
      <c r="Y100" s="179" t="s">
        <v>22</v>
      </c>
      <c r="Z100" s="179" t="s">
        <v>110</v>
      </c>
      <c r="AA100" s="154">
        <f t="shared" ref="AA100" si="151">IFERROR(IF(T100="Probabilidad",(L100-(+L100*W100)),IF(T100="Impacto",L100,"")),"")</f>
        <v>0.42</v>
      </c>
      <c r="AB100" s="168" t="str">
        <f t="shared" ref="AB100:AB102" si="152">IFERROR(IF(AA100="","",IF(AA100&lt;=0.2,"Muy Baja",IF(AA100&lt;=0.4,"Baja",IF(AA100&lt;=0.6,"Media",IF(AA100&lt;=0.8,"Alta","Muy Alta"))))),"")</f>
        <v>Media</v>
      </c>
      <c r="AC100" s="169">
        <f t="shared" ref="AC100:AC102" si="153">+AA100</f>
        <v>0.42</v>
      </c>
      <c r="AD100" s="168" t="str">
        <f t="shared" ref="AD100:AD102" si="154">IFERROR(IF(AE100="","",IF(AE100&lt;=0.2,"Leve",IF(AE100&lt;=0.4,"Menor",IF(AE100&lt;=0.6,"Moderado",IF(AE100&lt;=0.8,"Mayor","Catastrófico"))))),"")</f>
        <v>Moderado</v>
      </c>
      <c r="AE100" s="169">
        <f t="shared" ref="AE100:AE102" si="155">IFERROR(IF(T100="Impacto",(P100-(+P100*W100)),IF(T100="Probabilidad",P100,"")),"")</f>
        <v>0.6</v>
      </c>
      <c r="AF100" s="170" t="str">
        <f t="shared" ref="AF100:AF102" si="156">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71" t="s">
        <v>122</v>
      </c>
      <c r="AH100" s="172" t="s">
        <v>404</v>
      </c>
      <c r="AI100" s="164" t="s">
        <v>203</v>
      </c>
      <c r="AJ100" s="165" t="s">
        <v>199</v>
      </c>
      <c r="AK100" s="165" t="s">
        <v>199</v>
      </c>
      <c r="AL100" s="166" t="s">
        <v>406</v>
      </c>
      <c r="AM100" s="164"/>
    </row>
    <row r="101" spans="1:39" s="163" customFormat="1" ht="151.5" customHeight="1" x14ac:dyDescent="0.35">
      <c r="A101" s="422"/>
      <c r="B101" s="420"/>
      <c r="C101" s="425"/>
      <c r="D101" s="425"/>
      <c r="E101" s="407"/>
      <c r="F101" s="407"/>
      <c r="G101" s="407"/>
      <c r="H101" s="424"/>
      <c r="I101" s="407"/>
      <c r="J101" s="405"/>
      <c r="K101" s="410"/>
      <c r="L101" s="413"/>
      <c r="M101" s="416"/>
      <c r="N101" s="184"/>
      <c r="O101" s="410"/>
      <c r="P101" s="413"/>
      <c r="Q101" s="429"/>
      <c r="R101" s="178">
        <v>2</v>
      </c>
      <c r="S101" s="174" t="s">
        <v>350</v>
      </c>
      <c r="T101" s="175" t="str">
        <f t="shared" si="149"/>
        <v>Probabilidad</v>
      </c>
      <c r="U101" s="179" t="s">
        <v>14</v>
      </c>
      <c r="V101" s="179" t="s">
        <v>9</v>
      </c>
      <c r="W101" s="180" t="str">
        <f t="shared" si="150"/>
        <v>40%</v>
      </c>
      <c r="X101" s="179" t="s">
        <v>19</v>
      </c>
      <c r="Y101" s="179" t="s">
        <v>23</v>
      </c>
      <c r="Z101" s="179" t="s">
        <v>110</v>
      </c>
      <c r="AA101" s="154">
        <f>IFERROR(IF(T101="Probabilidad",(AA100-(+AA100*W101)),IF(T101="Impacto",L101,"")),"")</f>
        <v>0.252</v>
      </c>
      <c r="AB101" s="168" t="str">
        <f t="shared" si="152"/>
        <v>Baja</v>
      </c>
      <c r="AC101" s="169">
        <f t="shared" si="153"/>
        <v>0.252</v>
      </c>
      <c r="AD101" s="168" t="str">
        <f t="shared" si="154"/>
        <v>Moderado</v>
      </c>
      <c r="AE101" s="169">
        <v>0.6</v>
      </c>
      <c r="AF101" s="170" t="str">
        <f t="shared" si="156"/>
        <v>Moderado</v>
      </c>
      <c r="AG101" s="171" t="s">
        <v>122</v>
      </c>
      <c r="AH101" s="181" t="s">
        <v>312</v>
      </c>
      <c r="AI101" s="182" t="s">
        <v>212</v>
      </c>
      <c r="AJ101" s="183" t="s">
        <v>199</v>
      </c>
      <c r="AK101" s="183" t="s">
        <v>199</v>
      </c>
      <c r="AL101" s="181" t="s">
        <v>405</v>
      </c>
      <c r="AM101" s="164"/>
    </row>
    <row r="102" spans="1:39" s="163" customFormat="1" ht="99.75" customHeight="1" x14ac:dyDescent="0.35">
      <c r="A102" s="422"/>
      <c r="B102" s="421"/>
      <c r="C102" s="425"/>
      <c r="D102" s="425"/>
      <c r="E102" s="407"/>
      <c r="F102" s="407"/>
      <c r="G102" s="407"/>
      <c r="H102" s="424"/>
      <c r="I102" s="407"/>
      <c r="J102" s="405"/>
      <c r="K102" s="411"/>
      <c r="L102" s="414"/>
      <c r="M102" s="416"/>
      <c r="N102" s="184"/>
      <c r="O102" s="411"/>
      <c r="P102" s="414"/>
      <c r="Q102" s="430"/>
      <c r="R102" s="178">
        <v>3</v>
      </c>
      <c r="S102" s="174"/>
      <c r="T102" s="175" t="str">
        <f t="shared" si="149"/>
        <v/>
      </c>
      <c r="U102" s="179"/>
      <c r="V102" s="179"/>
      <c r="W102" s="180"/>
      <c r="X102" s="179"/>
      <c r="Y102" s="179"/>
      <c r="Z102" s="179"/>
      <c r="AA102" s="154" t="str">
        <f>IFERROR(IF(T102="Probabilidad",(AA101-(+AA101*W102)),IF(T102="Impacto",L102,"")),"")</f>
        <v/>
      </c>
      <c r="AB102" s="168" t="str">
        <f t="shared" si="152"/>
        <v/>
      </c>
      <c r="AC102" s="169" t="str">
        <f t="shared" si="153"/>
        <v/>
      </c>
      <c r="AD102" s="168" t="str">
        <f t="shared" si="154"/>
        <v/>
      </c>
      <c r="AE102" s="169" t="str">
        <f t="shared" si="155"/>
        <v/>
      </c>
      <c r="AF102" s="170" t="str">
        <f t="shared" si="156"/>
        <v/>
      </c>
      <c r="AG102" s="171"/>
      <c r="AH102" s="174"/>
      <c r="AI102" s="164"/>
      <c r="AJ102" s="165"/>
      <c r="AK102" s="165"/>
      <c r="AL102" s="174"/>
      <c r="AM102" s="164"/>
    </row>
    <row r="103" spans="1:39" s="163" customFormat="1" ht="151.5" customHeight="1" x14ac:dyDescent="0.35">
      <c r="A103" s="422">
        <v>34</v>
      </c>
      <c r="B103" s="419" t="s">
        <v>310</v>
      </c>
      <c r="C103" s="417" t="s">
        <v>360</v>
      </c>
      <c r="D103" s="417" t="s">
        <v>403</v>
      </c>
      <c r="E103" s="406" t="s">
        <v>118</v>
      </c>
      <c r="F103" s="406" t="s">
        <v>313</v>
      </c>
      <c r="G103" s="406" t="s">
        <v>333</v>
      </c>
      <c r="H103" s="423" t="s">
        <v>407</v>
      </c>
      <c r="I103" s="406" t="s">
        <v>328</v>
      </c>
      <c r="J103" s="404">
        <v>365</v>
      </c>
      <c r="K103" s="409" t="str">
        <f>IF(J103&lt;=0,"",IF(J103&lt;=2,"Muy Baja",IF(J103&lt;=24,"Baja",IF(J103&lt;=500,"Media",IF(J103&lt;=5000,"Alta","Muy Alta")))))</f>
        <v>Media</v>
      </c>
      <c r="L103" s="412">
        <f>IF(K103="","",IF(K103="Muy Baja",0.2,IF(K103="Baja",0.4,IF(K103="Media",0.6,IF(K103="Alta",0.8,IF(K103="Muy Alta",1,))))))</f>
        <v>0.6</v>
      </c>
      <c r="M103" s="415" t="s">
        <v>485</v>
      </c>
      <c r="N103" s="177"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409"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412">
        <f>IF(O103="","",IF(O103="Leve",0.2,IF(O103="Menor",0.4,IF(O103="Moderado",0.6,IF(O103="Mayor",0.8,IF(O103="Catastrófico",1,))))))</f>
        <v>0.6</v>
      </c>
      <c r="Q103" s="428"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78">
        <v>1</v>
      </c>
      <c r="S103" s="174" t="s">
        <v>334</v>
      </c>
      <c r="T103" s="175" t="str">
        <f t="shared" si="25"/>
        <v>Probabilidad</v>
      </c>
      <c r="U103" s="179" t="s">
        <v>14</v>
      </c>
      <c r="V103" s="179" t="s">
        <v>9</v>
      </c>
      <c r="W103" s="180" t="str">
        <f t="shared" si="26"/>
        <v>40%</v>
      </c>
      <c r="X103" s="179" t="s">
        <v>19</v>
      </c>
      <c r="Y103" s="179" t="s">
        <v>23</v>
      </c>
      <c r="Z103" s="179" t="s">
        <v>110</v>
      </c>
      <c r="AA103" s="154">
        <f t="shared" si="27"/>
        <v>0.36</v>
      </c>
      <c r="AB103" s="168" t="str">
        <f t="shared" si="28"/>
        <v>Baja</v>
      </c>
      <c r="AC103" s="169">
        <f t="shared" si="29"/>
        <v>0.36</v>
      </c>
      <c r="AD103" s="168" t="str">
        <f t="shared" si="30"/>
        <v>Moderado</v>
      </c>
      <c r="AE103" s="169">
        <f t="shared" si="31"/>
        <v>0.6</v>
      </c>
      <c r="AF103" s="170" t="str">
        <f t="shared" si="32"/>
        <v>Moderado</v>
      </c>
      <c r="AG103" s="171" t="s">
        <v>122</v>
      </c>
      <c r="AH103" s="181" t="s">
        <v>335</v>
      </c>
      <c r="AI103" s="182" t="s">
        <v>282</v>
      </c>
      <c r="AJ103" s="183" t="s">
        <v>199</v>
      </c>
      <c r="AK103" s="183" t="s">
        <v>199</v>
      </c>
      <c r="AL103" s="181" t="s">
        <v>408</v>
      </c>
      <c r="AM103" s="164"/>
    </row>
    <row r="104" spans="1:39" s="163" customFormat="1" ht="151.5" customHeight="1" x14ac:dyDescent="0.35">
      <c r="A104" s="422"/>
      <c r="B104" s="420"/>
      <c r="C104" s="425"/>
      <c r="D104" s="425"/>
      <c r="E104" s="407"/>
      <c r="F104" s="407"/>
      <c r="G104" s="407"/>
      <c r="H104" s="424"/>
      <c r="I104" s="407"/>
      <c r="J104" s="405"/>
      <c r="K104" s="410"/>
      <c r="L104" s="413"/>
      <c r="M104" s="416"/>
      <c r="N104" s="184"/>
      <c r="O104" s="410"/>
      <c r="P104" s="413"/>
      <c r="Q104" s="429"/>
      <c r="R104" s="178">
        <v>2</v>
      </c>
      <c r="S104" s="174" t="s">
        <v>345</v>
      </c>
      <c r="T104" s="175" t="str">
        <f t="shared" ref="T104:T105" si="157">IF(OR(U104="Preventivo",U104="Detectivo"),"Probabilidad",IF(U104="Correctivo","Impacto",""))</f>
        <v>Probabilidad</v>
      </c>
      <c r="U104" s="179" t="s">
        <v>14</v>
      </c>
      <c r="V104" s="179" t="s">
        <v>9</v>
      </c>
      <c r="W104" s="180" t="str">
        <f t="shared" ref="W104" si="158">IF(AND(U104="Preventivo",V104="Automático"),"50%",IF(AND(U104="Preventivo",V104="Manual"),"40%",IF(AND(U104="Detectivo",V104="Automático"),"40%",IF(AND(U104="Detectivo",V104="Manual"),"30%",IF(AND(U104="Correctivo",V104="Automático"),"35%",IF(AND(U104="Correctivo",V104="Manual"),"25%",""))))))</f>
        <v>40%</v>
      </c>
      <c r="X104" s="179" t="s">
        <v>20</v>
      </c>
      <c r="Y104" s="179" t="s">
        <v>22</v>
      </c>
      <c r="Z104" s="179" t="s">
        <v>110</v>
      </c>
      <c r="AA104" s="154">
        <f>IFERROR(IF(T104="Probabilidad",(AA103-(+AA103*W104)),IF(T104="Impacto",L104,"")),"")</f>
        <v>0.216</v>
      </c>
      <c r="AB104" s="168" t="str">
        <f t="shared" ref="AB104:AB105" si="159">IFERROR(IF(AA104="","",IF(AA104&lt;=0.2,"Muy Baja",IF(AA104&lt;=0.4,"Baja",IF(AA104&lt;=0.6,"Media",IF(AA104&lt;=0.8,"Alta","Muy Alta"))))),"")</f>
        <v>Baja</v>
      </c>
      <c r="AC104" s="169">
        <f t="shared" ref="AC104:AC105" si="160">+AA104</f>
        <v>0.216</v>
      </c>
      <c r="AD104" s="168" t="str">
        <f t="shared" ref="AD104:AD105" si="161">IFERROR(IF(AE104="","",IF(AE104&lt;=0.2,"Leve",IF(AE104&lt;=0.4,"Menor",IF(AE104&lt;=0.6,"Moderado",IF(AE104&lt;=0.8,"Mayor","Catastrófico"))))),"")</f>
        <v>Moderado</v>
      </c>
      <c r="AE104" s="169">
        <v>0.6</v>
      </c>
      <c r="AF104" s="170" t="str">
        <f t="shared" ref="AF104:AF105" si="162">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71" t="s">
        <v>122</v>
      </c>
      <c r="AH104" s="181" t="s">
        <v>404</v>
      </c>
      <c r="AI104" s="182" t="s">
        <v>203</v>
      </c>
      <c r="AJ104" s="183" t="s">
        <v>199</v>
      </c>
      <c r="AK104" s="183" t="s">
        <v>199</v>
      </c>
      <c r="AL104" s="181" t="s">
        <v>406</v>
      </c>
      <c r="AM104" s="164"/>
    </row>
    <row r="105" spans="1:39" s="163" customFormat="1" ht="151.5" customHeight="1" x14ac:dyDescent="0.35">
      <c r="A105" s="422"/>
      <c r="B105" s="421"/>
      <c r="C105" s="425"/>
      <c r="D105" s="425"/>
      <c r="E105" s="407"/>
      <c r="F105" s="407"/>
      <c r="G105" s="407"/>
      <c r="H105" s="424"/>
      <c r="I105" s="407"/>
      <c r="J105" s="405"/>
      <c r="K105" s="411"/>
      <c r="L105" s="414"/>
      <c r="M105" s="416"/>
      <c r="N105" s="184"/>
      <c r="O105" s="411"/>
      <c r="P105" s="414"/>
      <c r="Q105" s="430"/>
      <c r="R105" s="178">
        <v>3</v>
      </c>
      <c r="S105" s="174"/>
      <c r="T105" s="175" t="str">
        <f t="shared" si="157"/>
        <v/>
      </c>
      <c r="U105" s="179"/>
      <c r="V105" s="179"/>
      <c r="W105" s="180"/>
      <c r="X105" s="179"/>
      <c r="Y105" s="179"/>
      <c r="Z105" s="179"/>
      <c r="AA105" s="154" t="str">
        <f>IFERROR(IF(T105="Probabilidad",(AA104-(+AA104*W105)),IF(T105="Impacto",L105,"")),"")</f>
        <v/>
      </c>
      <c r="AB105" s="168" t="str">
        <f t="shared" si="159"/>
        <v/>
      </c>
      <c r="AC105" s="169" t="str">
        <f t="shared" si="160"/>
        <v/>
      </c>
      <c r="AD105" s="168" t="str">
        <f t="shared" si="161"/>
        <v/>
      </c>
      <c r="AE105" s="169" t="str">
        <f t="shared" ref="AE105" si="163">IFERROR(IF(T105="Impacto",(P105-(+P105*W105)),IF(T105="Probabilidad",P105,"")),"")</f>
        <v/>
      </c>
      <c r="AF105" s="170" t="str">
        <f t="shared" si="162"/>
        <v/>
      </c>
      <c r="AG105" s="171"/>
      <c r="AH105" s="174"/>
      <c r="AI105" s="164"/>
      <c r="AJ105" s="165"/>
      <c r="AK105" s="165"/>
      <c r="AL105" s="174"/>
      <c r="AM105" s="164"/>
    </row>
    <row r="106" spans="1:39" s="163" customFormat="1" ht="151.5" customHeight="1" x14ac:dyDescent="0.35">
      <c r="A106" s="422">
        <v>35</v>
      </c>
      <c r="B106" s="419" t="s">
        <v>310</v>
      </c>
      <c r="C106" s="417" t="s">
        <v>360</v>
      </c>
      <c r="D106" s="417" t="s">
        <v>403</v>
      </c>
      <c r="E106" s="406" t="s">
        <v>120</v>
      </c>
      <c r="F106" s="406" t="s">
        <v>315</v>
      </c>
      <c r="G106" s="406" t="s">
        <v>316</v>
      </c>
      <c r="H106" s="423" t="s">
        <v>314</v>
      </c>
      <c r="I106" s="406" t="s">
        <v>336</v>
      </c>
      <c r="J106" s="404">
        <v>365</v>
      </c>
      <c r="K106" s="409" t="str">
        <f>IF(J106&lt;=0,"",IF(J106&lt;=2,"Muy Baja",IF(J106&lt;=24,"Baja",IF(J106&lt;=500,"Media",IF(J106&lt;=5000,"Alta","Muy Alta")))))</f>
        <v>Media</v>
      </c>
      <c r="L106" s="412">
        <f>IF(K106="","",IF(K106="Muy Baja",0.2,IF(K106="Baja",0.4,IF(K106="Media",0.6,IF(K106="Alta",0.8,IF(K106="Muy Alta",1,))))))</f>
        <v>0.6</v>
      </c>
      <c r="M106" s="415" t="s">
        <v>492</v>
      </c>
      <c r="N106" s="177" t="str">
        <f>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409" t="str">
        <f>IF(OR(N106='Tabla Impacto'!$C$11,N106='Tabla Impacto'!$D$11),"Leve",IF(OR(N106='Tabla Impacto'!$C$12,N106='Tabla Impacto'!$D$12),"Menor",IF(OR(N106='Tabla Impacto'!$C$13,N106='Tabla Impacto'!$D$13),"Moderado",IF(OR(N106='Tabla Impacto'!$C$14,N106='Tabla Impacto'!$D$14),"Mayor",IF(OR(N106='Tabla Impacto'!$C$15,N106='Tabla Impacto'!$D$15),"Catastrófico","")))))</f>
        <v>Mayor</v>
      </c>
      <c r="P106" s="412">
        <f>IF(O106="","",IF(O106="Leve",0.2,IF(O106="Menor",0.4,IF(O106="Moderado",0.6,IF(O106="Mayor",0.8,IF(O106="Catastrófico",1,))))))</f>
        <v>0.8</v>
      </c>
      <c r="Q106" s="428"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78">
        <v>1</v>
      </c>
      <c r="S106" s="174" t="s">
        <v>351</v>
      </c>
      <c r="T106" s="175" t="str">
        <f t="shared" ref="T106:T108" si="164">IF(OR(U106="Preventivo",U106="Detectivo"),"Probabilidad",IF(U106="Correctivo","Impacto",""))</f>
        <v>Probabilidad</v>
      </c>
      <c r="U106" s="179" t="s">
        <v>14</v>
      </c>
      <c r="V106" s="179" t="s">
        <v>9</v>
      </c>
      <c r="W106" s="180" t="str">
        <f t="shared" ref="W106:W107" si="165">IF(AND(U106="Preventivo",V106="Automático"),"50%",IF(AND(U106="Preventivo",V106="Manual"),"40%",IF(AND(U106="Detectivo",V106="Automático"),"40%",IF(AND(U106="Detectivo",V106="Manual"),"30%",IF(AND(U106="Correctivo",V106="Automático"),"35%",IF(AND(U106="Correctivo",V106="Manual"),"25%",""))))))</f>
        <v>40%</v>
      </c>
      <c r="X106" s="179" t="s">
        <v>19</v>
      </c>
      <c r="Y106" s="179" t="s">
        <v>22</v>
      </c>
      <c r="Z106" s="179" t="s">
        <v>110</v>
      </c>
      <c r="AA106" s="154">
        <f t="shared" ref="AA106" si="166">IFERROR(IF(T106="Probabilidad",(L106-(+L106*W106)),IF(T106="Impacto",L106,"")),"")</f>
        <v>0.36</v>
      </c>
      <c r="AB106" s="168" t="str">
        <f t="shared" ref="AB106:AB108" si="167">IFERROR(IF(AA106="","",IF(AA106&lt;=0.2,"Muy Baja",IF(AA106&lt;=0.4,"Baja",IF(AA106&lt;=0.6,"Media",IF(AA106&lt;=0.8,"Alta","Muy Alta"))))),"")</f>
        <v>Baja</v>
      </c>
      <c r="AC106" s="169">
        <f t="shared" ref="AC106:AC108" si="168">+AA106</f>
        <v>0.36</v>
      </c>
      <c r="AD106" s="168" t="str">
        <f t="shared" ref="AD106:AD108" si="169">IFERROR(IF(AE106="","",IF(AE106&lt;=0.2,"Leve",IF(AE106&lt;=0.4,"Menor",IF(AE106&lt;=0.6,"Moderado",IF(AE106&lt;=0.8,"Mayor","Catastrófico"))))),"")</f>
        <v>Mayor</v>
      </c>
      <c r="AE106" s="169">
        <f t="shared" ref="AE106:AE108" si="170">IFERROR(IF(T106="Impacto",(P106-(+P106*W106)),IF(T106="Probabilidad",P106,"")),"")</f>
        <v>0.8</v>
      </c>
      <c r="AF106" s="170" t="str">
        <f t="shared" ref="AF106:AF108" si="171">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71" t="s">
        <v>122</v>
      </c>
      <c r="AH106" s="181" t="s">
        <v>312</v>
      </c>
      <c r="AI106" s="182" t="s">
        <v>212</v>
      </c>
      <c r="AJ106" s="183" t="s">
        <v>199</v>
      </c>
      <c r="AK106" s="183" t="s">
        <v>199</v>
      </c>
      <c r="AL106" s="181" t="s">
        <v>405</v>
      </c>
      <c r="AM106" s="164"/>
    </row>
    <row r="107" spans="1:39" s="163" customFormat="1" ht="151.5" customHeight="1" x14ac:dyDescent="0.35">
      <c r="A107" s="422"/>
      <c r="B107" s="420"/>
      <c r="C107" s="425"/>
      <c r="D107" s="425"/>
      <c r="E107" s="407"/>
      <c r="F107" s="407"/>
      <c r="G107" s="407"/>
      <c r="H107" s="424"/>
      <c r="I107" s="407"/>
      <c r="J107" s="405"/>
      <c r="K107" s="410"/>
      <c r="L107" s="413"/>
      <c r="M107" s="416"/>
      <c r="N107" s="184"/>
      <c r="O107" s="410"/>
      <c r="P107" s="413"/>
      <c r="Q107" s="429"/>
      <c r="R107" s="178">
        <v>2</v>
      </c>
      <c r="S107" s="174" t="s">
        <v>346</v>
      </c>
      <c r="T107" s="175" t="str">
        <f t="shared" si="164"/>
        <v>Probabilidad</v>
      </c>
      <c r="U107" s="179" t="s">
        <v>15</v>
      </c>
      <c r="V107" s="179" t="s">
        <v>10</v>
      </c>
      <c r="W107" s="180" t="str">
        <f t="shared" si="165"/>
        <v>40%</v>
      </c>
      <c r="X107" s="179" t="s">
        <v>19</v>
      </c>
      <c r="Y107" s="179" t="s">
        <v>22</v>
      </c>
      <c r="Z107" s="179" t="s">
        <v>110</v>
      </c>
      <c r="AA107" s="154">
        <f>IFERROR(IF(T107="Probabilidad",(AA106-(+AA106*W107)),IF(T107="Impacto",L107,"")),"")</f>
        <v>0.216</v>
      </c>
      <c r="AB107" s="168" t="str">
        <f t="shared" si="167"/>
        <v>Baja</v>
      </c>
      <c r="AC107" s="169">
        <f t="shared" si="168"/>
        <v>0.216</v>
      </c>
      <c r="AD107" s="168" t="str">
        <f t="shared" si="169"/>
        <v>Mayor</v>
      </c>
      <c r="AE107" s="169">
        <v>0.8</v>
      </c>
      <c r="AF107" s="170" t="str">
        <f t="shared" si="171"/>
        <v>Alto</v>
      </c>
      <c r="AG107" s="171" t="s">
        <v>122</v>
      </c>
      <c r="AH107" s="185" t="s">
        <v>409</v>
      </c>
      <c r="AI107" s="182" t="s">
        <v>203</v>
      </c>
      <c r="AJ107" s="183" t="s">
        <v>199</v>
      </c>
      <c r="AK107" s="183" t="s">
        <v>199</v>
      </c>
      <c r="AL107" s="181" t="s">
        <v>410</v>
      </c>
      <c r="AM107" s="164"/>
    </row>
    <row r="108" spans="1:39" s="163" customFormat="1" ht="151.5" customHeight="1" x14ac:dyDescent="0.35">
      <c r="A108" s="422"/>
      <c r="B108" s="421"/>
      <c r="C108" s="425"/>
      <c r="D108" s="425"/>
      <c r="E108" s="407"/>
      <c r="F108" s="407"/>
      <c r="G108" s="407"/>
      <c r="H108" s="424"/>
      <c r="I108" s="407"/>
      <c r="J108" s="405"/>
      <c r="K108" s="411"/>
      <c r="L108" s="414"/>
      <c r="M108" s="416"/>
      <c r="N108" s="184"/>
      <c r="O108" s="411"/>
      <c r="P108" s="414"/>
      <c r="Q108" s="430"/>
      <c r="R108" s="178">
        <v>3</v>
      </c>
      <c r="S108" s="174"/>
      <c r="T108" s="175" t="str">
        <f t="shared" si="164"/>
        <v/>
      </c>
      <c r="U108" s="179"/>
      <c r="V108" s="179"/>
      <c r="W108" s="180"/>
      <c r="X108" s="179"/>
      <c r="Y108" s="179"/>
      <c r="Z108" s="179"/>
      <c r="AA108" s="154" t="str">
        <f>IFERROR(IF(T108="Probabilidad",(AA107-(+AA107*W108)),IF(T108="Impacto",L108,"")),"")</f>
        <v/>
      </c>
      <c r="AB108" s="168" t="str">
        <f t="shared" si="167"/>
        <v/>
      </c>
      <c r="AC108" s="169" t="str">
        <f t="shared" si="168"/>
        <v/>
      </c>
      <c r="AD108" s="168" t="str">
        <f t="shared" si="169"/>
        <v/>
      </c>
      <c r="AE108" s="169" t="str">
        <f t="shared" si="170"/>
        <v/>
      </c>
      <c r="AF108" s="170" t="str">
        <f t="shared" si="171"/>
        <v/>
      </c>
      <c r="AG108" s="171"/>
      <c r="AH108" s="174"/>
      <c r="AI108" s="164"/>
      <c r="AJ108" s="165"/>
      <c r="AK108" s="165"/>
      <c r="AL108" s="174"/>
      <c r="AM108" s="164"/>
    </row>
    <row r="109" spans="1:39" s="163" customFormat="1" ht="151.5" customHeight="1" x14ac:dyDescent="0.35">
      <c r="A109" s="422">
        <v>36</v>
      </c>
      <c r="B109" s="419" t="s">
        <v>317</v>
      </c>
      <c r="C109" s="417" t="s">
        <v>352</v>
      </c>
      <c r="D109" s="417" t="s">
        <v>411</v>
      </c>
      <c r="E109" s="406" t="s">
        <v>120</v>
      </c>
      <c r="F109" s="406" t="s">
        <v>466</v>
      </c>
      <c r="G109" s="406" t="s">
        <v>467</v>
      </c>
      <c r="H109" s="423" t="s">
        <v>412</v>
      </c>
      <c r="I109" s="406" t="s">
        <v>328</v>
      </c>
      <c r="J109" s="404">
        <v>35</v>
      </c>
      <c r="K109" s="409" t="str">
        <f>IF(J109&lt;=0,"",IF(J109&lt;=2,"Muy Baja",IF(J109&lt;=24,"Baja",IF(J109&lt;=500,"Media",IF(J109&lt;=5000,"Alta","Muy Alta")))))</f>
        <v>Media</v>
      </c>
      <c r="L109" s="412">
        <f>IF(K109="","",IF(K109="Muy Baja",0.2,IF(K109="Baja",0.4,IF(K109="Media",0.6,IF(K109="Alta",0.8,IF(K109="Muy Alta",1,))))))</f>
        <v>0.6</v>
      </c>
      <c r="M109" s="415" t="s">
        <v>490</v>
      </c>
      <c r="N109" s="177" t="str">
        <f>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409" t="str">
        <f>IF(OR(N109='Tabla Impacto'!$C$11,N109='Tabla Impacto'!$D$11),"Leve",IF(OR(N109='Tabla Impacto'!$C$12,N109='Tabla Impacto'!$D$12),"Menor",IF(OR(N109='Tabla Impacto'!$C$13,N109='Tabla Impacto'!$D$13),"Moderado",IF(OR(N109='Tabla Impacto'!$C$14,N109='Tabla Impacto'!$D$14),"Mayor",IF(OR(N109='Tabla Impacto'!$C$15,N109='Tabla Impacto'!$D$15),"Catastrófico","")))))</f>
        <v>Menor</v>
      </c>
      <c r="P109" s="412">
        <f>IF(O109="","",IF(O109="Leve",0.2,IF(O109="Menor",0.4,IF(O109="Moderado",0.6,IF(O109="Mayor",0.8,IF(O109="Catastrófico",1,))))))</f>
        <v>0.4</v>
      </c>
      <c r="Q109" s="428"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78">
        <v>1</v>
      </c>
      <c r="S109" s="174" t="s">
        <v>337</v>
      </c>
      <c r="T109" s="175" t="str">
        <f t="shared" ref="T109:T120" si="172">IF(OR(U109="Preventivo",U109="Detectivo"),"Probabilidad",IF(U109="Correctivo","Impacto",""))</f>
        <v>Probabilidad</v>
      </c>
      <c r="U109" s="179" t="s">
        <v>14</v>
      </c>
      <c r="V109" s="179" t="s">
        <v>9</v>
      </c>
      <c r="W109" s="180" t="str">
        <f t="shared" ref="W109:W119" si="173">IF(AND(U109="Preventivo",V109="Automático"),"50%",IF(AND(U109="Preventivo",V109="Manual"),"40%",IF(AND(U109="Detectivo",V109="Automático"),"40%",IF(AND(U109="Detectivo",V109="Manual"),"30%",IF(AND(U109="Correctivo",V109="Automático"),"35%",IF(AND(U109="Correctivo",V109="Manual"),"25%",""))))))</f>
        <v>40%</v>
      </c>
      <c r="X109" s="179" t="s">
        <v>19</v>
      </c>
      <c r="Y109" s="179" t="s">
        <v>22</v>
      </c>
      <c r="Z109" s="179" t="s">
        <v>110</v>
      </c>
      <c r="AA109" s="154">
        <f t="shared" ref="AA109:AA118" si="174">IFERROR(IF(T109="Probabilidad",(L109-(+L109*W109)),IF(T109="Impacto",L109,"")),"")</f>
        <v>0.36</v>
      </c>
      <c r="AB109" s="168" t="str">
        <f t="shared" ref="AB109:AB119" si="175">IFERROR(IF(AA109="","",IF(AA109&lt;=0.2,"Muy Baja",IF(AA109&lt;=0.4,"Baja",IF(AA109&lt;=0.6,"Media",IF(AA109&lt;=0.8,"Alta","Muy Alta"))))),"")</f>
        <v>Baja</v>
      </c>
      <c r="AC109" s="169">
        <f t="shared" ref="AC109:AC119" si="176">+AA109</f>
        <v>0.36</v>
      </c>
      <c r="AD109" s="168" t="str">
        <f t="shared" ref="AD109:AD119" si="177">IFERROR(IF(AE109="","",IF(AE109&lt;=0.2,"Leve",IF(AE109&lt;=0.4,"Menor",IF(AE109&lt;=0.6,"Moderado",IF(AE109&lt;=0.8,"Mayor","Catastrófico"))))),"")</f>
        <v>Menor</v>
      </c>
      <c r="AE109" s="169">
        <f t="shared" ref="AE109:AE119" si="178">IFERROR(IF(T109="Impacto",(P109-(+P109*W109)),IF(T109="Probabilidad",P109,"")),"")</f>
        <v>0.4</v>
      </c>
      <c r="AF109" s="170" t="str">
        <f t="shared" ref="AF109:AF119" si="179">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71" t="s">
        <v>122</v>
      </c>
      <c r="AH109" s="174" t="s">
        <v>513</v>
      </c>
      <c r="AI109" s="164" t="s">
        <v>260</v>
      </c>
      <c r="AJ109" s="165">
        <v>44563</v>
      </c>
      <c r="AK109" s="165" t="s">
        <v>373</v>
      </c>
      <c r="AL109" s="174" t="s">
        <v>413</v>
      </c>
      <c r="AM109" s="164"/>
    </row>
    <row r="110" spans="1:39" s="163" customFormat="1" ht="151.5" customHeight="1" x14ac:dyDescent="0.35">
      <c r="A110" s="422"/>
      <c r="B110" s="420"/>
      <c r="C110" s="418"/>
      <c r="D110" s="425"/>
      <c r="E110" s="407"/>
      <c r="F110" s="407"/>
      <c r="G110" s="407"/>
      <c r="H110" s="424"/>
      <c r="I110" s="407"/>
      <c r="J110" s="405"/>
      <c r="K110" s="410"/>
      <c r="L110" s="413"/>
      <c r="M110" s="416"/>
      <c r="N110" s="184"/>
      <c r="O110" s="410"/>
      <c r="P110" s="413"/>
      <c r="Q110" s="429"/>
      <c r="R110" s="178">
        <v>2</v>
      </c>
      <c r="S110" s="174" t="s">
        <v>347</v>
      </c>
      <c r="T110" s="175" t="str">
        <f t="shared" si="172"/>
        <v>Probabilidad</v>
      </c>
      <c r="U110" s="179" t="s">
        <v>15</v>
      </c>
      <c r="V110" s="179" t="s">
        <v>9</v>
      </c>
      <c r="W110" s="180" t="str">
        <f t="shared" si="173"/>
        <v>30%</v>
      </c>
      <c r="X110" s="179" t="s">
        <v>19</v>
      </c>
      <c r="Y110" s="179" t="s">
        <v>22</v>
      </c>
      <c r="Z110" s="179" t="s">
        <v>110</v>
      </c>
      <c r="AA110" s="154">
        <f>IFERROR(IF(T110="Probabilidad",(AA109-(+AA109*W110)),IF(T110="Impacto",L110,"")),"")</f>
        <v>0.252</v>
      </c>
      <c r="AB110" s="168" t="str">
        <f t="shared" si="175"/>
        <v>Baja</v>
      </c>
      <c r="AC110" s="169">
        <f t="shared" si="176"/>
        <v>0.252</v>
      </c>
      <c r="AD110" s="168" t="str">
        <f t="shared" si="177"/>
        <v>Menor</v>
      </c>
      <c r="AE110" s="169">
        <v>0.4</v>
      </c>
      <c r="AF110" s="170" t="str">
        <f t="shared" si="179"/>
        <v>Moderado</v>
      </c>
      <c r="AG110" s="171" t="s">
        <v>122</v>
      </c>
      <c r="AH110" s="174" t="s">
        <v>513</v>
      </c>
      <c r="AI110" s="164" t="s">
        <v>260</v>
      </c>
      <c r="AJ110" s="165">
        <v>44563</v>
      </c>
      <c r="AK110" s="165" t="s">
        <v>373</v>
      </c>
      <c r="AL110" s="174" t="s">
        <v>413</v>
      </c>
      <c r="AM110" s="164"/>
    </row>
    <row r="111" spans="1:39" s="163" customFormat="1" ht="151.5" customHeight="1" x14ac:dyDescent="0.35">
      <c r="A111" s="422"/>
      <c r="B111" s="421"/>
      <c r="C111" s="418"/>
      <c r="D111" s="425"/>
      <c r="E111" s="407"/>
      <c r="F111" s="407"/>
      <c r="G111" s="407"/>
      <c r="H111" s="424"/>
      <c r="I111" s="407"/>
      <c r="J111" s="405"/>
      <c r="K111" s="411"/>
      <c r="L111" s="414"/>
      <c r="M111" s="416"/>
      <c r="N111" s="184"/>
      <c r="O111" s="411"/>
      <c r="P111" s="414"/>
      <c r="Q111" s="430"/>
      <c r="R111" s="178">
        <v>3</v>
      </c>
      <c r="S111" s="174"/>
      <c r="T111" s="175" t="str">
        <f t="shared" si="172"/>
        <v/>
      </c>
      <c r="U111" s="179"/>
      <c r="V111" s="179"/>
      <c r="W111" s="180"/>
      <c r="X111" s="179"/>
      <c r="Y111" s="179"/>
      <c r="Z111" s="179"/>
      <c r="AA111" s="154" t="str">
        <f>IFERROR(IF(T111="Probabilidad",(AA110-(+AA110*W111)),IF(T111="Impacto",L111,"")),"")</f>
        <v/>
      </c>
      <c r="AB111" s="168" t="str">
        <f t="shared" si="175"/>
        <v/>
      </c>
      <c r="AC111" s="169" t="str">
        <f t="shared" si="176"/>
        <v/>
      </c>
      <c r="AD111" s="168" t="str">
        <f t="shared" si="177"/>
        <v/>
      </c>
      <c r="AE111" s="169" t="str">
        <f t="shared" si="178"/>
        <v/>
      </c>
      <c r="AF111" s="170" t="str">
        <f t="shared" si="179"/>
        <v/>
      </c>
      <c r="AG111" s="171"/>
      <c r="AH111" s="174"/>
      <c r="AI111" s="164"/>
      <c r="AJ111" s="165"/>
      <c r="AK111" s="165"/>
      <c r="AL111" s="174"/>
      <c r="AM111" s="164"/>
    </row>
    <row r="112" spans="1:39" s="163" customFormat="1" ht="151.5" customHeight="1" x14ac:dyDescent="0.35">
      <c r="A112" s="422">
        <v>37</v>
      </c>
      <c r="B112" s="419" t="s">
        <v>317</v>
      </c>
      <c r="C112" s="417" t="s">
        <v>352</v>
      </c>
      <c r="D112" s="417" t="s">
        <v>411</v>
      </c>
      <c r="E112" s="406" t="s">
        <v>120</v>
      </c>
      <c r="F112" s="406" t="s">
        <v>468</v>
      </c>
      <c r="G112" s="406" t="s">
        <v>469</v>
      </c>
      <c r="H112" s="423" t="s">
        <v>338</v>
      </c>
      <c r="I112" s="406" t="s">
        <v>328</v>
      </c>
      <c r="J112" s="404">
        <v>12</v>
      </c>
      <c r="K112" s="409" t="str">
        <f>IF(J112&lt;=0,"",IF(J112&lt;=2,"Muy Baja",IF(J112&lt;=24,"Baja",IF(J112&lt;=500,"Media",IF(J112&lt;=5000,"Alta","Muy Alta")))))</f>
        <v>Baja</v>
      </c>
      <c r="L112" s="412">
        <f>IF(K112="","",IF(K112="Muy Baja",0.2,IF(K112="Baja",0.4,IF(K112="Media",0.6,IF(K112="Alta",0.8,IF(K112="Muy Alta",1,))))))</f>
        <v>0.4</v>
      </c>
      <c r="M112" s="415" t="s">
        <v>490</v>
      </c>
      <c r="N112" s="177"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409"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412">
        <f>IF(O112="","",IF(O112="Leve",0.2,IF(O112="Menor",0.4,IF(O112="Moderado",0.6,IF(O112="Mayor",0.8,IF(O112="Catastrófico",1,))))))</f>
        <v>0.4</v>
      </c>
      <c r="Q112" s="428"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78">
        <v>1</v>
      </c>
      <c r="S112" s="174" t="s">
        <v>514</v>
      </c>
      <c r="T112" s="175" t="str">
        <f t="shared" si="172"/>
        <v>Probabilidad</v>
      </c>
      <c r="U112" s="179" t="s">
        <v>14</v>
      </c>
      <c r="V112" s="179" t="s">
        <v>9</v>
      </c>
      <c r="W112" s="180" t="str">
        <f t="shared" si="173"/>
        <v>40%</v>
      </c>
      <c r="X112" s="179" t="s">
        <v>19</v>
      </c>
      <c r="Y112" s="179" t="s">
        <v>22</v>
      </c>
      <c r="Z112" s="179" t="s">
        <v>110</v>
      </c>
      <c r="AA112" s="154">
        <f t="shared" si="174"/>
        <v>0.24</v>
      </c>
      <c r="AB112" s="168" t="str">
        <f t="shared" si="175"/>
        <v>Baja</v>
      </c>
      <c r="AC112" s="169">
        <f t="shared" si="176"/>
        <v>0.24</v>
      </c>
      <c r="AD112" s="168" t="str">
        <f t="shared" si="177"/>
        <v>Menor</v>
      </c>
      <c r="AE112" s="169">
        <f t="shared" si="178"/>
        <v>0.4</v>
      </c>
      <c r="AF112" s="170" t="str">
        <f t="shared" si="179"/>
        <v>Moderado</v>
      </c>
      <c r="AG112" s="171" t="s">
        <v>122</v>
      </c>
      <c r="AH112" s="174" t="s">
        <v>515</v>
      </c>
      <c r="AI112" s="164" t="s">
        <v>203</v>
      </c>
      <c r="AJ112" s="165">
        <v>44568</v>
      </c>
      <c r="AK112" s="165" t="s">
        <v>373</v>
      </c>
      <c r="AL112" s="174" t="s">
        <v>414</v>
      </c>
      <c r="AM112" s="164"/>
    </row>
    <row r="113" spans="1:39" s="163" customFormat="1" ht="151.5" customHeight="1" x14ac:dyDescent="0.35">
      <c r="A113" s="422"/>
      <c r="B113" s="420"/>
      <c r="C113" s="418"/>
      <c r="D113" s="425"/>
      <c r="E113" s="407"/>
      <c r="F113" s="407"/>
      <c r="G113" s="407"/>
      <c r="H113" s="424"/>
      <c r="I113" s="407"/>
      <c r="J113" s="405"/>
      <c r="K113" s="410"/>
      <c r="L113" s="413"/>
      <c r="M113" s="416"/>
      <c r="N113" s="184"/>
      <c r="O113" s="410"/>
      <c r="P113" s="413"/>
      <c r="Q113" s="429"/>
      <c r="R113" s="178">
        <v>2</v>
      </c>
      <c r="S113" s="174" t="s">
        <v>361</v>
      </c>
      <c r="T113" s="175" t="str">
        <f t="shared" si="172"/>
        <v>Probabilidad</v>
      </c>
      <c r="U113" s="179" t="s">
        <v>15</v>
      </c>
      <c r="V113" s="179" t="s">
        <v>9</v>
      </c>
      <c r="W113" s="180" t="str">
        <f t="shared" si="173"/>
        <v>30%</v>
      </c>
      <c r="X113" s="179" t="s">
        <v>19</v>
      </c>
      <c r="Y113" s="179" t="s">
        <v>22</v>
      </c>
      <c r="Z113" s="179" t="s">
        <v>110</v>
      </c>
      <c r="AA113" s="154">
        <f>IFERROR(IF(T113="Probabilidad",(AA112-(+AA112*W113)),IF(T113="Impacto",L113,"")),"")</f>
        <v>0.16799999999999998</v>
      </c>
      <c r="AB113" s="168" t="str">
        <f t="shared" si="175"/>
        <v>Muy Baja</v>
      </c>
      <c r="AC113" s="169">
        <f t="shared" si="176"/>
        <v>0.16799999999999998</v>
      </c>
      <c r="AD113" s="168" t="str">
        <f t="shared" si="177"/>
        <v>Menor</v>
      </c>
      <c r="AE113" s="169">
        <v>0.4</v>
      </c>
      <c r="AF113" s="170" t="str">
        <f t="shared" si="179"/>
        <v>Bajo</v>
      </c>
      <c r="AG113" s="171" t="s">
        <v>122</v>
      </c>
      <c r="AH113" s="174" t="s">
        <v>516</v>
      </c>
      <c r="AI113" s="164" t="s">
        <v>203</v>
      </c>
      <c r="AJ113" s="165">
        <v>44564</v>
      </c>
      <c r="AK113" s="165" t="s">
        <v>373</v>
      </c>
      <c r="AL113" s="174" t="s">
        <v>414</v>
      </c>
      <c r="AM113" s="164"/>
    </row>
    <row r="114" spans="1:39" s="163" customFormat="1" ht="151.5" customHeight="1" x14ac:dyDescent="0.35">
      <c r="A114" s="422"/>
      <c r="B114" s="421"/>
      <c r="C114" s="418"/>
      <c r="D114" s="425"/>
      <c r="E114" s="407"/>
      <c r="F114" s="407"/>
      <c r="G114" s="407"/>
      <c r="H114" s="424"/>
      <c r="I114" s="407"/>
      <c r="J114" s="405"/>
      <c r="K114" s="411"/>
      <c r="L114" s="414"/>
      <c r="M114" s="416"/>
      <c r="N114" s="184"/>
      <c r="O114" s="411"/>
      <c r="P114" s="414"/>
      <c r="Q114" s="430"/>
      <c r="R114" s="178">
        <v>3</v>
      </c>
      <c r="S114" s="174"/>
      <c r="T114" s="175" t="str">
        <f t="shared" si="172"/>
        <v/>
      </c>
      <c r="U114" s="179"/>
      <c r="V114" s="179"/>
      <c r="W114" s="180"/>
      <c r="X114" s="179"/>
      <c r="Y114" s="179"/>
      <c r="Z114" s="179"/>
      <c r="AA114" s="154" t="str">
        <f>IFERROR(IF(T114="Probabilidad",(AA113-(+AA113*W114)),IF(T114="Impacto",L114,"")),"")</f>
        <v/>
      </c>
      <c r="AB114" s="168" t="str">
        <f t="shared" si="175"/>
        <v/>
      </c>
      <c r="AC114" s="169" t="str">
        <f t="shared" si="176"/>
        <v/>
      </c>
      <c r="AD114" s="168" t="str">
        <f t="shared" si="177"/>
        <v/>
      </c>
      <c r="AE114" s="169" t="str">
        <f t="shared" si="178"/>
        <v/>
      </c>
      <c r="AF114" s="170" t="str">
        <f t="shared" si="179"/>
        <v/>
      </c>
      <c r="AG114" s="171"/>
      <c r="AH114" s="174"/>
      <c r="AI114" s="164"/>
      <c r="AJ114" s="165"/>
      <c r="AK114" s="165"/>
      <c r="AL114" s="174"/>
      <c r="AM114" s="164"/>
    </row>
    <row r="115" spans="1:39" s="163" customFormat="1" ht="151.5" customHeight="1" x14ac:dyDescent="0.35">
      <c r="A115" s="422">
        <v>38</v>
      </c>
      <c r="B115" s="401" t="s">
        <v>317</v>
      </c>
      <c r="C115" s="417" t="s">
        <v>352</v>
      </c>
      <c r="D115" s="417" t="s">
        <v>415</v>
      </c>
      <c r="E115" s="406" t="s">
        <v>120</v>
      </c>
      <c r="F115" s="406" t="s">
        <v>470</v>
      </c>
      <c r="G115" s="406" t="s">
        <v>544</v>
      </c>
      <c r="H115" s="423" t="s">
        <v>551</v>
      </c>
      <c r="I115" s="406" t="s">
        <v>115</v>
      </c>
      <c r="J115" s="404">
        <v>3000</v>
      </c>
      <c r="K115" s="409" t="str">
        <f>IF(J115&lt;=0,"",IF(J115&lt;=2,"Muy Baja",IF(J115&lt;=24,"Baja",IF(J115&lt;=500,"Media",IF(J115&lt;=5000,"Alta","Muy Alta")))))</f>
        <v>Alta</v>
      </c>
      <c r="L115" s="412">
        <f>IF(K115="","",IF(K115="Muy Baja",0.2,IF(K115="Baja",0.4,IF(K115="Media",0.6,IF(K115="Alta",0.8,IF(K115="Muy Alta",1,))))))</f>
        <v>0.8</v>
      </c>
      <c r="M115" s="415" t="s">
        <v>484</v>
      </c>
      <c r="N115" s="177" t="str">
        <f>IF(NOT(ISERROR(MATCH(M115,'Tabla Impacto'!$B$221:$B$223,0))),'Tabla Impacto'!$F$223&amp;"Por favor no seleccionar los criterios de impacto(Afectación Económica o presupuestal y Pérdida Reputacional)",M115)</f>
        <v xml:space="preserve"> Entre 50 y 100 SMLMV </v>
      </c>
      <c r="O115" s="409"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412">
        <f>IF(O115="","",IF(O115="Leve",0.2,IF(O115="Menor",0.4,IF(O115="Moderado",0.6,IF(O115="Mayor",0.8,IF(O115="Catastrófico",1,))))))</f>
        <v>0.6</v>
      </c>
      <c r="Q115" s="428"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78">
        <v>1</v>
      </c>
      <c r="S115" s="174" t="s">
        <v>362</v>
      </c>
      <c r="T115" s="175" t="str">
        <f t="shared" si="172"/>
        <v>Probabilidad</v>
      </c>
      <c r="U115" s="179" t="s">
        <v>14</v>
      </c>
      <c r="V115" s="179" t="s">
        <v>9</v>
      </c>
      <c r="W115" s="180" t="str">
        <f t="shared" si="173"/>
        <v>40%</v>
      </c>
      <c r="X115" s="179" t="s">
        <v>19</v>
      </c>
      <c r="Y115" s="179" t="s">
        <v>22</v>
      </c>
      <c r="Z115" s="179" t="s">
        <v>110</v>
      </c>
      <c r="AA115" s="154">
        <f t="shared" si="174"/>
        <v>0.48</v>
      </c>
      <c r="AB115" s="168" t="str">
        <f t="shared" si="175"/>
        <v>Media</v>
      </c>
      <c r="AC115" s="169">
        <f t="shared" si="176"/>
        <v>0.48</v>
      </c>
      <c r="AD115" s="168" t="str">
        <f t="shared" si="177"/>
        <v>Moderado</v>
      </c>
      <c r="AE115" s="169">
        <f t="shared" si="178"/>
        <v>0.6</v>
      </c>
      <c r="AF115" s="170" t="str">
        <f t="shared" si="179"/>
        <v>Moderado</v>
      </c>
      <c r="AG115" s="171" t="s">
        <v>122</v>
      </c>
      <c r="AH115" s="174" t="s">
        <v>517</v>
      </c>
      <c r="AI115" s="164" t="s">
        <v>203</v>
      </c>
      <c r="AJ115" s="165">
        <v>44564</v>
      </c>
      <c r="AK115" s="165" t="s">
        <v>373</v>
      </c>
      <c r="AL115" s="174" t="s">
        <v>413</v>
      </c>
      <c r="AM115" s="164"/>
    </row>
    <row r="116" spans="1:39" s="163" customFormat="1" ht="151.5" customHeight="1" x14ac:dyDescent="0.35">
      <c r="A116" s="422"/>
      <c r="B116" s="402"/>
      <c r="C116" s="418"/>
      <c r="D116" s="425"/>
      <c r="E116" s="407"/>
      <c r="F116" s="407"/>
      <c r="G116" s="407"/>
      <c r="H116" s="424"/>
      <c r="I116" s="407"/>
      <c r="J116" s="405"/>
      <c r="K116" s="410"/>
      <c r="L116" s="413"/>
      <c r="M116" s="416"/>
      <c r="N116" s="184"/>
      <c r="O116" s="410"/>
      <c r="P116" s="413"/>
      <c r="Q116" s="429"/>
      <c r="R116" s="178">
        <v>2</v>
      </c>
      <c r="S116" s="174" t="s">
        <v>416</v>
      </c>
      <c r="T116" s="175" t="str">
        <f t="shared" si="172"/>
        <v>Probabilidad</v>
      </c>
      <c r="U116" s="179" t="s">
        <v>14</v>
      </c>
      <c r="V116" s="179" t="s">
        <v>9</v>
      </c>
      <c r="W116" s="180" t="str">
        <f t="shared" si="173"/>
        <v>40%</v>
      </c>
      <c r="X116" s="179" t="s">
        <v>19</v>
      </c>
      <c r="Y116" s="179" t="s">
        <v>22</v>
      </c>
      <c r="Z116" s="179" t="s">
        <v>110</v>
      </c>
      <c r="AA116" s="154">
        <f>IFERROR(IF(T116="Probabilidad",(AA115-(+AA115*W116)),IF(T116="Impacto",L116,"")),"")</f>
        <v>0.28799999999999998</v>
      </c>
      <c r="AB116" s="168" t="str">
        <f t="shared" si="175"/>
        <v>Baja</v>
      </c>
      <c r="AC116" s="169">
        <f t="shared" si="176"/>
        <v>0.28799999999999998</v>
      </c>
      <c r="AD116" s="168" t="str">
        <f t="shared" si="177"/>
        <v>Menor</v>
      </c>
      <c r="AE116" s="169">
        <v>0.4</v>
      </c>
      <c r="AF116" s="170" t="str">
        <f t="shared" si="179"/>
        <v>Moderado</v>
      </c>
      <c r="AG116" s="171" t="s">
        <v>122</v>
      </c>
      <c r="AH116" s="174" t="s">
        <v>517</v>
      </c>
      <c r="AI116" s="164" t="s">
        <v>203</v>
      </c>
      <c r="AJ116" s="165">
        <v>44564</v>
      </c>
      <c r="AK116" s="165" t="s">
        <v>373</v>
      </c>
      <c r="AL116" s="174" t="s">
        <v>413</v>
      </c>
      <c r="AM116" s="164"/>
    </row>
    <row r="117" spans="1:39" s="163" customFormat="1" ht="151.5" customHeight="1" x14ac:dyDescent="0.35">
      <c r="A117" s="422"/>
      <c r="B117" s="403"/>
      <c r="C117" s="418"/>
      <c r="D117" s="425"/>
      <c r="E117" s="407"/>
      <c r="F117" s="407"/>
      <c r="G117" s="407"/>
      <c r="H117" s="424"/>
      <c r="I117" s="407"/>
      <c r="J117" s="405"/>
      <c r="K117" s="411"/>
      <c r="L117" s="414"/>
      <c r="M117" s="416"/>
      <c r="N117" s="184"/>
      <c r="O117" s="411"/>
      <c r="P117" s="414"/>
      <c r="Q117" s="430"/>
      <c r="R117" s="178">
        <v>3</v>
      </c>
      <c r="S117" s="174" t="s">
        <v>363</v>
      </c>
      <c r="T117" s="175" t="str">
        <f t="shared" si="172"/>
        <v>Probabilidad</v>
      </c>
      <c r="U117" s="179" t="s">
        <v>14</v>
      </c>
      <c r="V117" s="179" t="s">
        <v>9</v>
      </c>
      <c r="W117" s="180" t="str">
        <f t="shared" si="173"/>
        <v>40%</v>
      </c>
      <c r="X117" s="179" t="s">
        <v>19</v>
      </c>
      <c r="Y117" s="179" t="s">
        <v>22</v>
      </c>
      <c r="Z117" s="179" t="s">
        <v>110</v>
      </c>
      <c r="AA117" s="154">
        <f>IFERROR(IF(T117="Probabilidad",(AA116-(+A116*W117)),IF(T117="Impacto",L117,"")),"")</f>
        <v>0.28799999999999998</v>
      </c>
      <c r="AB117" s="168" t="str">
        <f t="shared" si="175"/>
        <v>Baja</v>
      </c>
      <c r="AC117" s="169">
        <f t="shared" si="176"/>
        <v>0.28799999999999998</v>
      </c>
      <c r="AD117" s="168" t="str">
        <f t="shared" si="177"/>
        <v>Menor</v>
      </c>
      <c r="AE117" s="169">
        <v>0.4</v>
      </c>
      <c r="AF117" s="170" t="str">
        <f t="shared" si="179"/>
        <v>Moderado</v>
      </c>
      <c r="AG117" s="171" t="s">
        <v>122</v>
      </c>
      <c r="AH117" s="174" t="s">
        <v>517</v>
      </c>
      <c r="AI117" s="164" t="s">
        <v>203</v>
      </c>
      <c r="AJ117" s="165">
        <v>44564</v>
      </c>
      <c r="AK117" s="165" t="s">
        <v>373</v>
      </c>
      <c r="AL117" s="174" t="s">
        <v>413</v>
      </c>
      <c r="AM117" s="164"/>
    </row>
    <row r="118" spans="1:39" s="163" customFormat="1" ht="151.5" customHeight="1" x14ac:dyDescent="0.35">
      <c r="A118" s="422">
        <v>39</v>
      </c>
      <c r="B118" s="419" t="s">
        <v>417</v>
      </c>
      <c r="C118" s="427" t="s">
        <v>418</v>
      </c>
      <c r="D118" s="417" t="s">
        <v>419</v>
      </c>
      <c r="E118" s="406" t="s">
        <v>120</v>
      </c>
      <c r="F118" s="426" t="s">
        <v>497</v>
      </c>
      <c r="G118" s="426" t="s">
        <v>420</v>
      </c>
      <c r="H118" s="423" t="s">
        <v>498</v>
      </c>
      <c r="I118" s="406" t="s">
        <v>328</v>
      </c>
      <c r="J118" s="404">
        <v>49</v>
      </c>
      <c r="K118" s="409" t="str">
        <f>IF(J118&lt;=0,"",IF(J118&lt;=2,"Muy Baja",IF(J118&lt;=24,"Baja",IF(J118&lt;=500,"Media",IF(J118&lt;=5000,"Alta","Muy Alta")))))</f>
        <v>Media</v>
      </c>
      <c r="L118" s="412">
        <f>IF(K118="","",IF(K118="Muy Baja",0.2,IF(K118="Baja",0.4,IF(K118="Media",0.6,IF(K118="Alta",0.8,IF(K118="Muy Alta",1,))))))</f>
        <v>0.6</v>
      </c>
      <c r="M118" s="415" t="s">
        <v>485</v>
      </c>
      <c r="N118" s="177"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409"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412">
        <f>IF(O118="","",IF(O118="Leve",0.2,IF(O118="Menor",0.4,IF(O118="Moderado",0.6,IF(O118="Mayor",0.8,IF(O118="Catastrófico",1,))))))</f>
        <v>0.6</v>
      </c>
      <c r="Q118" s="428"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78">
        <v>1</v>
      </c>
      <c r="S118" s="186" t="s">
        <v>499</v>
      </c>
      <c r="T118" s="175" t="str">
        <f t="shared" si="172"/>
        <v>Probabilidad</v>
      </c>
      <c r="U118" s="179" t="s">
        <v>14</v>
      </c>
      <c r="V118" s="179" t="s">
        <v>9</v>
      </c>
      <c r="W118" s="180" t="str">
        <f t="shared" si="173"/>
        <v>40%</v>
      </c>
      <c r="X118" s="179" t="s">
        <v>19</v>
      </c>
      <c r="Y118" s="179" t="s">
        <v>22</v>
      </c>
      <c r="Z118" s="179" t="s">
        <v>110</v>
      </c>
      <c r="AA118" s="154">
        <f t="shared" si="174"/>
        <v>0.36</v>
      </c>
      <c r="AB118" s="168" t="str">
        <f t="shared" si="175"/>
        <v>Baja</v>
      </c>
      <c r="AC118" s="169">
        <f t="shared" si="176"/>
        <v>0.36</v>
      </c>
      <c r="AD118" s="168" t="str">
        <f t="shared" si="177"/>
        <v>Moderado</v>
      </c>
      <c r="AE118" s="169">
        <f t="shared" si="178"/>
        <v>0.6</v>
      </c>
      <c r="AF118" s="170" t="str">
        <f t="shared" si="179"/>
        <v>Moderado</v>
      </c>
      <c r="AG118" s="171" t="s">
        <v>122</v>
      </c>
      <c r="AH118" s="187" t="s">
        <v>422</v>
      </c>
      <c r="AI118" s="166" t="s">
        <v>421</v>
      </c>
      <c r="AJ118" s="165" t="s">
        <v>196</v>
      </c>
      <c r="AK118" s="165" t="s">
        <v>423</v>
      </c>
      <c r="AL118" s="172" t="s">
        <v>550</v>
      </c>
      <c r="AM118" s="164"/>
    </row>
    <row r="119" spans="1:39" s="163" customFormat="1" ht="151.5" customHeight="1" x14ac:dyDescent="0.35">
      <c r="A119" s="422"/>
      <c r="B119" s="420"/>
      <c r="C119" s="425"/>
      <c r="D119" s="425"/>
      <c r="E119" s="407"/>
      <c r="F119" s="407"/>
      <c r="G119" s="407"/>
      <c r="H119" s="424"/>
      <c r="I119" s="407"/>
      <c r="J119" s="405"/>
      <c r="K119" s="410"/>
      <c r="L119" s="413"/>
      <c r="M119" s="416"/>
      <c r="N119" s="184"/>
      <c r="O119" s="410"/>
      <c r="P119" s="413"/>
      <c r="Q119" s="429"/>
      <c r="R119" s="178">
        <v>2</v>
      </c>
      <c r="S119" s="188" t="s">
        <v>523</v>
      </c>
      <c r="T119" s="175" t="str">
        <f t="shared" si="172"/>
        <v>Probabilidad</v>
      </c>
      <c r="U119" s="179" t="s">
        <v>15</v>
      </c>
      <c r="V119" s="179" t="s">
        <v>9</v>
      </c>
      <c r="W119" s="180" t="str">
        <f t="shared" si="173"/>
        <v>30%</v>
      </c>
      <c r="X119" s="179" t="s">
        <v>19</v>
      </c>
      <c r="Y119" s="179" t="s">
        <v>23</v>
      </c>
      <c r="Z119" s="179" t="s">
        <v>110</v>
      </c>
      <c r="AA119" s="154">
        <f>IFERROR(IF(T119="Probabilidad",(AA118-(+AA118*W119)),IF(T119="Impacto",L119,"")),"")</f>
        <v>0.252</v>
      </c>
      <c r="AB119" s="168" t="str">
        <f t="shared" si="175"/>
        <v>Baja</v>
      </c>
      <c r="AC119" s="169">
        <f t="shared" si="176"/>
        <v>0.252</v>
      </c>
      <c r="AD119" s="168" t="str">
        <f t="shared" si="177"/>
        <v>Leve</v>
      </c>
      <c r="AE119" s="169">
        <f t="shared" si="178"/>
        <v>0</v>
      </c>
      <c r="AF119" s="170" t="str">
        <f t="shared" si="179"/>
        <v>Bajo</v>
      </c>
      <c r="AG119" s="171" t="s">
        <v>122</v>
      </c>
      <c r="AH119" s="221" t="s">
        <v>500</v>
      </c>
      <c r="AI119" s="189" t="s">
        <v>203</v>
      </c>
      <c r="AJ119" s="165" t="s">
        <v>196</v>
      </c>
      <c r="AK119" s="165" t="s">
        <v>196</v>
      </c>
      <c r="AL119" s="187" t="s">
        <v>424</v>
      </c>
      <c r="AM119" s="164"/>
    </row>
    <row r="120" spans="1:39" s="163" customFormat="1" ht="151.5" customHeight="1" x14ac:dyDescent="0.35">
      <c r="A120" s="422"/>
      <c r="B120" s="421"/>
      <c r="C120" s="425"/>
      <c r="D120" s="425"/>
      <c r="E120" s="407"/>
      <c r="F120" s="407"/>
      <c r="G120" s="407"/>
      <c r="H120" s="424"/>
      <c r="I120" s="407"/>
      <c r="J120" s="405"/>
      <c r="K120" s="411"/>
      <c r="L120" s="414"/>
      <c r="M120" s="416"/>
      <c r="N120" s="184"/>
      <c r="O120" s="411"/>
      <c r="P120" s="414"/>
      <c r="Q120" s="430"/>
      <c r="R120" s="178">
        <v>3</v>
      </c>
      <c r="S120" s="174"/>
      <c r="T120" s="175" t="str">
        <f t="shared" si="172"/>
        <v/>
      </c>
      <c r="U120" s="179"/>
      <c r="V120" s="179"/>
      <c r="W120" s="180"/>
      <c r="X120" s="179"/>
      <c r="Y120" s="179"/>
      <c r="Z120" s="179"/>
      <c r="AA120" s="154"/>
      <c r="AB120" s="168"/>
      <c r="AC120" s="169"/>
      <c r="AD120" s="168"/>
      <c r="AE120" s="169"/>
      <c r="AF120" s="170"/>
      <c r="AG120" s="171"/>
      <c r="AH120" s="174"/>
      <c r="AI120" s="164"/>
      <c r="AJ120" s="165"/>
      <c r="AK120" s="165"/>
      <c r="AL120" s="174"/>
      <c r="AM120" s="164"/>
    </row>
    <row r="121" spans="1:39" s="163" customFormat="1" ht="151.5" customHeight="1" x14ac:dyDescent="0.35">
      <c r="A121" s="422">
        <v>40</v>
      </c>
      <c r="B121" s="419" t="s">
        <v>417</v>
      </c>
      <c r="C121" s="427" t="s">
        <v>418</v>
      </c>
      <c r="D121" s="417" t="s">
        <v>419</v>
      </c>
      <c r="E121" s="406" t="s">
        <v>120</v>
      </c>
      <c r="F121" s="426" t="s">
        <v>501</v>
      </c>
      <c r="G121" s="426" t="s">
        <v>502</v>
      </c>
      <c r="H121" s="423" t="s">
        <v>503</v>
      </c>
      <c r="I121" s="406" t="s">
        <v>328</v>
      </c>
      <c r="J121" s="404">
        <v>60</v>
      </c>
      <c r="K121" s="409" t="str">
        <f>IF(J121&lt;=0,"",IF(J121&lt;=2,"Muy Baja",IF(J121&lt;=24,"Baja",IF(J121&lt;=500,"Media",IF(J121&lt;=5000,"Alta","Muy Alta")))))</f>
        <v>Media</v>
      </c>
      <c r="L121" s="412">
        <f>IF(K121="","",IF(K121="Muy Baja",0.2,IF(K121="Baja",0.4,IF(K121="Media",0.6,IF(K121="Alta",0.8,IF(K121="Muy Alta",1,))))))</f>
        <v>0.6</v>
      </c>
      <c r="M121" s="415" t="s">
        <v>485</v>
      </c>
      <c r="N121" s="177"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409"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12">
        <f>IF(O121="","",IF(O121="Leve",0.2,IF(O121="Menor",0.4,IF(O121="Moderado",0.6,IF(O121="Mayor",0.8,IF(O121="Catastrófico",1,))))))</f>
        <v>0.6</v>
      </c>
      <c r="Q121" s="428"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78">
        <v>1</v>
      </c>
      <c r="S121" s="174" t="s">
        <v>511</v>
      </c>
      <c r="T121" s="175" t="str">
        <f t="shared" ref="T121:T150" si="180">IF(OR(U121="Preventivo",U121="Detectivo"),"Probabilidad",IF(U121="Correctivo","Impacto",""))</f>
        <v>Probabilidad</v>
      </c>
      <c r="U121" s="179" t="s">
        <v>15</v>
      </c>
      <c r="V121" s="179" t="s">
        <v>9</v>
      </c>
      <c r="W121" s="180" t="str">
        <f t="shared" ref="W121:W150" si="181">IF(AND(U121="Preventivo",V121="Automático"),"50%",IF(AND(U121="Preventivo",V121="Manual"),"40%",IF(AND(U121="Detectivo",V121="Automático"),"40%",IF(AND(U121="Detectivo",V121="Manual"),"30%",IF(AND(U121="Correctivo",V121="Automático"),"35%",IF(AND(U121="Correctivo",V121="Manual"),"25%",""))))))</f>
        <v>30%</v>
      </c>
      <c r="X121" s="179" t="s">
        <v>20</v>
      </c>
      <c r="Y121" s="179" t="s">
        <v>23</v>
      </c>
      <c r="Z121" s="179" t="s">
        <v>111</v>
      </c>
      <c r="AA121" s="154">
        <f t="shared" ref="AA121:AA150" si="182">IFERROR(IF(T121="Probabilidad",(L121-(+L121*W121)),IF(T121="Impacto",L121,"")),"")</f>
        <v>0.42</v>
      </c>
      <c r="AB121" s="168" t="str">
        <f t="shared" ref="AB121:AB150" si="183">IFERROR(IF(AA121="","",IF(AA121&lt;=0.2,"Muy Baja",IF(AA121&lt;=0.4,"Baja",IF(AA121&lt;=0.6,"Media",IF(AA121&lt;=0.8,"Alta","Muy Alta"))))),"")</f>
        <v>Media</v>
      </c>
      <c r="AC121" s="169">
        <f t="shared" ref="AC121:AC150" si="184">+AA121</f>
        <v>0.42</v>
      </c>
      <c r="AD121" s="168" t="str">
        <f t="shared" ref="AD121:AD150" si="185">IFERROR(IF(AE121="","",IF(AE121&lt;=0.2,"Leve",IF(AE121&lt;=0.4,"Menor",IF(AE121&lt;=0.6,"Moderado",IF(AE121&lt;=0.8,"Mayor","Catastrófico"))))),"")</f>
        <v>Moderado</v>
      </c>
      <c r="AE121" s="169">
        <f t="shared" ref="AE121:AE150" si="186">IFERROR(IF(T121="Impacto",(P121-(+P121*W121)),IF(T121="Probabilidad",P121,"")),"")</f>
        <v>0.6</v>
      </c>
      <c r="AF121" s="170" t="str">
        <f t="shared" ref="AF121:AF150" si="187">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71" t="s">
        <v>122</v>
      </c>
      <c r="AH121" s="174" t="s">
        <v>504</v>
      </c>
      <c r="AI121" s="164" t="s">
        <v>421</v>
      </c>
      <c r="AJ121" s="165" t="s">
        <v>196</v>
      </c>
      <c r="AK121" s="165" t="s">
        <v>196</v>
      </c>
      <c r="AL121" s="174" t="s">
        <v>425</v>
      </c>
      <c r="AM121" s="164"/>
    </row>
    <row r="122" spans="1:39" s="163" customFormat="1" ht="151.5" customHeight="1" x14ac:dyDescent="0.35">
      <c r="A122" s="422"/>
      <c r="B122" s="420"/>
      <c r="C122" s="425"/>
      <c r="D122" s="425"/>
      <c r="E122" s="407"/>
      <c r="F122" s="407"/>
      <c r="G122" s="407"/>
      <c r="H122" s="424"/>
      <c r="I122" s="407"/>
      <c r="J122" s="405"/>
      <c r="K122" s="410"/>
      <c r="L122" s="413"/>
      <c r="M122" s="416"/>
      <c r="N122" s="184"/>
      <c r="O122" s="410"/>
      <c r="P122" s="413"/>
      <c r="Q122" s="429"/>
      <c r="R122" s="178">
        <v>2</v>
      </c>
      <c r="S122" s="174"/>
      <c r="T122" s="175" t="str">
        <f t="shared" si="180"/>
        <v/>
      </c>
      <c r="U122" s="179"/>
      <c r="V122" s="179"/>
      <c r="W122" s="180"/>
      <c r="X122" s="179"/>
      <c r="Y122" s="179"/>
      <c r="Z122" s="179"/>
      <c r="AA122" s="154" t="str">
        <f>IFERROR(IF(T122="Probabilidad",(AA121-(+AA121*W122)),IF(T122="Impacto",L122,"")),"")</f>
        <v/>
      </c>
      <c r="AB122" s="168" t="str">
        <f t="shared" si="183"/>
        <v/>
      </c>
      <c r="AC122" s="169" t="str">
        <f t="shared" si="184"/>
        <v/>
      </c>
      <c r="AD122" s="168" t="str">
        <f t="shared" si="185"/>
        <v/>
      </c>
      <c r="AE122" s="169" t="str">
        <f t="shared" si="186"/>
        <v/>
      </c>
      <c r="AF122" s="170" t="str">
        <f t="shared" si="187"/>
        <v/>
      </c>
      <c r="AG122" s="171"/>
      <c r="AH122" s="119" t="s">
        <v>552</v>
      </c>
      <c r="AI122" s="144" t="s">
        <v>524</v>
      </c>
      <c r="AJ122" s="143" t="s">
        <v>196</v>
      </c>
      <c r="AK122" s="143" t="s">
        <v>196</v>
      </c>
      <c r="AL122" s="119" t="s">
        <v>425</v>
      </c>
      <c r="AM122" s="164"/>
    </row>
    <row r="123" spans="1:39" s="163" customFormat="1" ht="151.5" customHeight="1" x14ac:dyDescent="0.35">
      <c r="A123" s="422"/>
      <c r="B123" s="421"/>
      <c r="C123" s="425"/>
      <c r="D123" s="425"/>
      <c r="E123" s="407"/>
      <c r="F123" s="407"/>
      <c r="G123" s="407"/>
      <c r="H123" s="424"/>
      <c r="I123" s="407"/>
      <c r="J123" s="405"/>
      <c r="K123" s="411"/>
      <c r="L123" s="414"/>
      <c r="M123" s="416"/>
      <c r="N123" s="184"/>
      <c r="O123" s="411"/>
      <c r="P123" s="414"/>
      <c r="Q123" s="430"/>
      <c r="R123" s="178">
        <v>3</v>
      </c>
      <c r="S123" s="174"/>
      <c r="T123" s="175" t="str">
        <f t="shared" si="180"/>
        <v/>
      </c>
      <c r="U123" s="179"/>
      <c r="V123" s="179"/>
      <c r="W123" s="180"/>
      <c r="X123" s="179"/>
      <c r="Y123" s="179"/>
      <c r="Z123" s="179"/>
      <c r="AA123" s="154" t="str">
        <f>IFERROR(IF(T123="Probabilidad",(AA122-(+AA122*W123)),IF(T123="Impacto",L123,"")),"")</f>
        <v/>
      </c>
      <c r="AB123" s="168" t="str">
        <f t="shared" si="183"/>
        <v/>
      </c>
      <c r="AC123" s="169" t="str">
        <f t="shared" si="184"/>
        <v/>
      </c>
      <c r="AD123" s="168" t="str">
        <f t="shared" si="185"/>
        <v/>
      </c>
      <c r="AE123" s="169" t="str">
        <f t="shared" si="186"/>
        <v/>
      </c>
      <c r="AF123" s="170" t="str">
        <f t="shared" si="187"/>
        <v/>
      </c>
      <c r="AG123" s="171"/>
      <c r="AH123" s="174"/>
      <c r="AI123" s="164"/>
      <c r="AJ123" s="165"/>
      <c r="AK123" s="165"/>
      <c r="AL123" s="174"/>
      <c r="AM123" s="164"/>
    </row>
    <row r="124" spans="1:39" s="163" customFormat="1" ht="151.5" customHeight="1" x14ac:dyDescent="0.35">
      <c r="A124" s="422">
        <v>41</v>
      </c>
      <c r="B124" s="419" t="s">
        <v>417</v>
      </c>
      <c r="C124" s="427" t="s">
        <v>418</v>
      </c>
      <c r="D124" s="417" t="s">
        <v>419</v>
      </c>
      <c r="E124" s="406" t="s">
        <v>120</v>
      </c>
      <c r="F124" s="426" t="s">
        <v>426</v>
      </c>
      <c r="G124" s="406" t="s">
        <v>494</v>
      </c>
      <c r="H124" s="437" t="s">
        <v>495</v>
      </c>
      <c r="I124" s="406" t="s">
        <v>116</v>
      </c>
      <c r="J124" s="404">
        <v>13</v>
      </c>
      <c r="K124" s="409" t="str">
        <f>IF(J124&lt;=0,"",IF(J124&lt;=2,"Muy Baja",IF(J124&lt;=24,"Baja",IF(J124&lt;=500,"Media",IF(J124&lt;=5000,"Alta","Muy Alta")))))</f>
        <v>Baja</v>
      </c>
      <c r="L124" s="412">
        <f>IF(K124="","",IF(K124="Muy Baja",0.2,IF(K124="Baja",0.4,IF(K124="Media",0.6,IF(K124="Alta",0.8,IF(K124="Muy Alta",1,))))))</f>
        <v>0.4</v>
      </c>
      <c r="M124" s="415" t="s">
        <v>485</v>
      </c>
      <c r="N124" s="177"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409"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412">
        <f>IF(O124="","",IF(O124="Leve",0.2,IF(O124="Menor",0.4,IF(O124="Moderado",0.6,IF(O124="Mayor",0.8,IF(O124="Catastrófico",1,))))))</f>
        <v>0.6</v>
      </c>
      <c r="Q124" s="428"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78">
        <v>1</v>
      </c>
      <c r="S124" s="190" t="s">
        <v>505</v>
      </c>
      <c r="T124" s="175" t="str">
        <f t="shared" si="180"/>
        <v>Probabilidad</v>
      </c>
      <c r="U124" s="179" t="s">
        <v>15</v>
      </c>
      <c r="V124" s="179" t="s">
        <v>9</v>
      </c>
      <c r="W124" s="180" t="str">
        <f t="shared" si="181"/>
        <v>30%</v>
      </c>
      <c r="X124" s="179" t="s">
        <v>20</v>
      </c>
      <c r="Y124" s="179" t="s">
        <v>22</v>
      </c>
      <c r="Z124" s="179" t="s">
        <v>110</v>
      </c>
      <c r="AA124" s="154">
        <f t="shared" si="182"/>
        <v>0.28000000000000003</v>
      </c>
      <c r="AB124" s="168" t="str">
        <f t="shared" si="183"/>
        <v>Baja</v>
      </c>
      <c r="AC124" s="169">
        <f t="shared" si="184"/>
        <v>0.28000000000000003</v>
      </c>
      <c r="AD124" s="168" t="str">
        <f t="shared" si="185"/>
        <v>Moderado</v>
      </c>
      <c r="AE124" s="169">
        <f t="shared" si="186"/>
        <v>0.6</v>
      </c>
      <c r="AF124" s="170" t="str">
        <f t="shared" si="187"/>
        <v>Moderado</v>
      </c>
      <c r="AG124" s="171" t="s">
        <v>122</v>
      </c>
      <c r="AH124" s="174" t="s">
        <v>506</v>
      </c>
      <c r="AI124" s="164" t="s">
        <v>212</v>
      </c>
      <c r="AJ124" s="165" t="s">
        <v>196</v>
      </c>
      <c r="AK124" s="165" t="s">
        <v>196</v>
      </c>
      <c r="AL124" s="174" t="s">
        <v>427</v>
      </c>
      <c r="AM124" s="164"/>
    </row>
    <row r="125" spans="1:39" s="163" customFormat="1" ht="151.5" customHeight="1" x14ac:dyDescent="0.35">
      <c r="A125" s="422"/>
      <c r="B125" s="420"/>
      <c r="C125" s="425"/>
      <c r="D125" s="425"/>
      <c r="E125" s="407"/>
      <c r="F125" s="407"/>
      <c r="G125" s="407"/>
      <c r="H125" s="424"/>
      <c r="I125" s="407"/>
      <c r="J125" s="405"/>
      <c r="K125" s="410"/>
      <c r="L125" s="413"/>
      <c r="M125" s="416"/>
      <c r="N125" s="184"/>
      <c r="O125" s="410"/>
      <c r="P125" s="413"/>
      <c r="Q125" s="429"/>
      <c r="R125" s="178">
        <v>2</v>
      </c>
      <c r="S125" s="174"/>
      <c r="T125" s="175" t="str">
        <f t="shared" si="180"/>
        <v/>
      </c>
      <c r="U125" s="179"/>
      <c r="V125" s="179"/>
      <c r="W125" s="180"/>
      <c r="X125" s="179"/>
      <c r="Y125" s="179"/>
      <c r="Z125" s="179"/>
      <c r="AA125" s="154" t="str">
        <f>IFERROR(IF(T125="Probabilidad",(AA124-(+AA124*W125)),IF(T125="Impacto",L125,"")),"")</f>
        <v/>
      </c>
      <c r="AB125" s="168" t="str">
        <f t="shared" si="183"/>
        <v/>
      </c>
      <c r="AC125" s="169" t="str">
        <f t="shared" si="184"/>
        <v/>
      </c>
      <c r="AD125" s="168" t="str">
        <f t="shared" si="185"/>
        <v/>
      </c>
      <c r="AE125" s="169" t="str">
        <f t="shared" si="186"/>
        <v/>
      </c>
      <c r="AF125" s="170" t="str">
        <f t="shared" si="187"/>
        <v/>
      </c>
      <c r="AG125" s="171"/>
      <c r="AH125" s="174"/>
      <c r="AI125" s="164"/>
      <c r="AJ125" s="165"/>
      <c r="AK125" s="165"/>
      <c r="AL125" s="174"/>
      <c r="AM125" s="164"/>
    </row>
    <row r="126" spans="1:39" s="163" customFormat="1" ht="151.5" customHeight="1" x14ac:dyDescent="0.35">
      <c r="A126" s="422"/>
      <c r="B126" s="421"/>
      <c r="C126" s="425"/>
      <c r="D126" s="425"/>
      <c r="E126" s="407"/>
      <c r="F126" s="407"/>
      <c r="G126" s="407"/>
      <c r="H126" s="424"/>
      <c r="I126" s="407"/>
      <c r="J126" s="405"/>
      <c r="K126" s="411"/>
      <c r="L126" s="414"/>
      <c r="M126" s="416"/>
      <c r="N126" s="184"/>
      <c r="O126" s="411"/>
      <c r="P126" s="414"/>
      <c r="Q126" s="430"/>
      <c r="R126" s="178">
        <v>3</v>
      </c>
      <c r="S126" s="174"/>
      <c r="T126" s="175" t="str">
        <f t="shared" si="180"/>
        <v/>
      </c>
      <c r="U126" s="179"/>
      <c r="V126" s="179"/>
      <c r="W126" s="180"/>
      <c r="X126" s="179"/>
      <c r="Y126" s="179"/>
      <c r="Z126" s="179"/>
      <c r="AA126" s="154" t="str">
        <f>IFERROR(IF(T126="Probabilidad",(AA125-(+AA125*W126)),IF(T126="Impacto",L126,"")),"")</f>
        <v/>
      </c>
      <c r="AB126" s="168" t="str">
        <f t="shared" si="183"/>
        <v/>
      </c>
      <c r="AC126" s="169" t="str">
        <f t="shared" si="184"/>
        <v/>
      </c>
      <c r="AD126" s="168" t="str">
        <f t="shared" si="185"/>
        <v/>
      </c>
      <c r="AE126" s="169" t="str">
        <f t="shared" si="186"/>
        <v/>
      </c>
      <c r="AF126" s="170" t="str">
        <f t="shared" si="187"/>
        <v/>
      </c>
      <c r="AG126" s="171"/>
      <c r="AH126" s="174"/>
      <c r="AI126" s="164"/>
      <c r="AJ126" s="165"/>
      <c r="AK126" s="165"/>
      <c r="AL126" s="174"/>
      <c r="AM126" s="164"/>
    </row>
    <row r="127" spans="1:39" s="163" customFormat="1" ht="151.5" customHeight="1" x14ac:dyDescent="0.35">
      <c r="A127" s="422">
        <v>42</v>
      </c>
      <c r="B127" s="419" t="s">
        <v>318</v>
      </c>
      <c r="C127" s="417" t="s">
        <v>319</v>
      </c>
      <c r="D127" s="417" t="s">
        <v>320</v>
      </c>
      <c r="E127" s="406" t="s">
        <v>120</v>
      </c>
      <c r="F127" s="426" t="s">
        <v>473</v>
      </c>
      <c r="G127" s="406" t="s">
        <v>428</v>
      </c>
      <c r="H127" s="423" t="s">
        <v>429</v>
      </c>
      <c r="I127" s="406" t="s">
        <v>115</v>
      </c>
      <c r="J127" s="404">
        <v>53</v>
      </c>
      <c r="K127" s="409" t="str">
        <f>IF(J127&lt;=0,"",IF(J127&lt;=2,"Muy Baja",IF(J127&lt;=24,"Baja",IF(J127&lt;=500,"Media",IF(J127&lt;=5000,"Alta","Muy Alta")))))</f>
        <v>Media</v>
      </c>
      <c r="L127" s="412">
        <f>IF(K127="","",IF(K127="Muy Baja",0.2,IF(K127="Baja",0.4,IF(K127="Media",0.6,IF(K127="Alta",0.8,IF(K127="Muy Alta",1,))))))</f>
        <v>0.6</v>
      </c>
      <c r="M127" s="415" t="s">
        <v>492</v>
      </c>
      <c r="N127" s="177" t="str">
        <f>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409" t="str">
        <f>IF(OR(N127='Tabla Impacto'!$C$11,N127='Tabla Impacto'!$D$11),"Leve",IF(OR(N127='Tabla Impacto'!$C$12,N127='Tabla Impacto'!$D$12),"Menor",IF(OR(N127='Tabla Impacto'!$C$13,N127='Tabla Impacto'!$D$13),"Moderado",IF(OR(N127='Tabla Impacto'!$C$14,N127='Tabla Impacto'!$D$14),"Mayor",IF(OR(N127='Tabla Impacto'!$C$15,N127='Tabla Impacto'!$D$15),"Catastrófico","")))))</f>
        <v>Mayor</v>
      </c>
      <c r="P127" s="412">
        <f>IF(O127="","",IF(O127="Leve",0.2,IF(O127="Menor",0.4,IF(O127="Moderado",0.6,IF(O127="Mayor",0.8,IF(O127="Catastrófico",1,))))))</f>
        <v>0.8</v>
      </c>
      <c r="Q127" s="428"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78">
        <v>1</v>
      </c>
      <c r="S127" s="174" t="s">
        <v>474</v>
      </c>
      <c r="T127" s="175" t="str">
        <f t="shared" si="180"/>
        <v>Probabilidad</v>
      </c>
      <c r="U127" s="179" t="s">
        <v>15</v>
      </c>
      <c r="V127" s="179" t="s">
        <v>9</v>
      </c>
      <c r="W127" s="180" t="str">
        <f t="shared" si="181"/>
        <v>30%</v>
      </c>
      <c r="X127" s="179" t="s">
        <v>19</v>
      </c>
      <c r="Y127" s="179" t="s">
        <v>22</v>
      </c>
      <c r="Z127" s="179" t="s">
        <v>110</v>
      </c>
      <c r="AA127" s="154">
        <f t="shared" si="182"/>
        <v>0.42</v>
      </c>
      <c r="AB127" s="168" t="str">
        <f t="shared" si="183"/>
        <v>Media</v>
      </c>
      <c r="AC127" s="169">
        <f t="shared" si="184"/>
        <v>0.42</v>
      </c>
      <c r="AD127" s="168" t="str">
        <f t="shared" si="185"/>
        <v>Mayor</v>
      </c>
      <c r="AE127" s="169">
        <f t="shared" si="186"/>
        <v>0.8</v>
      </c>
      <c r="AF127" s="170" t="str">
        <f t="shared" si="187"/>
        <v>Alto</v>
      </c>
      <c r="AG127" s="171" t="s">
        <v>122</v>
      </c>
      <c r="AH127" s="174" t="s">
        <v>476</v>
      </c>
      <c r="AI127" s="166" t="s">
        <v>260</v>
      </c>
      <c r="AJ127" s="165">
        <v>44562</v>
      </c>
      <c r="AK127" s="165" t="s">
        <v>373</v>
      </c>
      <c r="AL127" s="174" t="s">
        <v>475</v>
      </c>
      <c r="AM127" s="164"/>
    </row>
    <row r="128" spans="1:39" s="163" customFormat="1" ht="151.5" customHeight="1" x14ac:dyDescent="0.35">
      <c r="A128" s="422"/>
      <c r="B128" s="420"/>
      <c r="C128" s="418"/>
      <c r="D128" s="418"/>
      <c r="E128" s="407"/>
      <c r="F128" s="407"/>
      <c r="G128" s="407"/>
      <c r="H128" s="424"/>
      <c r="I128" s="407"/>
      <c r="J128" s="405"/>
      <c r="K128" s="410"/>
      <c r="L128" s="413"/>
      <c r="M128" s="416"/>
      <c r="N128" s="184"/>
      <c r="O128" s="410"/>
      <c r="P128" s="413"/>
      <c r="Q128" s="429"/>
      <c r="R128" s="178">
        <v>2</v>
      </c>
      <c r="S128" s="174" t="s">
        <v>507</v>
      </c>
      <c r="T128" s="175" t="str">
        <f t="shared" si="180"/>
        <v>Probabilidad</v>
      </c>
      <c r="U128" s="179" t="s">
        <v>14</v>
      </c>
      <c r="V128" s="179" t="s">
        <v>9</v>
      </c>
      <c r="W128" s="180" t="str">
        <f t="shared" si="181"/>
        <v>40%</v>
      </c>
      <c r="X128" s="179" t="s">
        <v>19</v>
      </c>
      <c r="Y128" s="179" t="s">
        <v>22</v>
      </c>
      <c r="Z128" s="179" t="s">
        <v>110</v>
      </c>
      <c r="AA128" s="154">
        <f>IFERROR(IF(T128="Probabilidad",(AA127-(+AA127*W128)),IF(T128="Impacto",L128,"")),"")</f>
        <v>0.252</v>
      </c>
      <c r="AB128" s="168" t="str">
        <f t="shared" si="183"/>
        <v>Baja</v>
      </c>
      <c r="AC128" s="169">
        <f t="shared" si="184"/>
        <v>0.252</v>
      </c>
      <c r="AD128" s="168" t="str">
        <f t="shared" si="185"/>
        <v>Mayor</v>
      </c>
      <c r="AE128" s="169">
        <v>0.8</v>
      </c>
      <c r="AF128" s="170" t="str">
        <f t="shared" si="187"/>
        <v>Alto</v>
      </c>
      <c r="AG128" s="171" t="s">
        <v>122</v>
      </c>
      <c r="AH128" s="174" t="s">
        <v>508</v>
      </c>
      <c r="AI128" s="164" t="s">
        <v>203</v>
      </c>
      <c r="AJ128" s="165">
        <v>44562</v>
      </c>
      <c r="AK128" s="165" t="s">
        <v>373</v>
      </c>
      <c r="AL128" s="174" t="s">
        <v>475</v>
      </c>
      <c r="AM128" s="164"/>
    </row>
    <row r="129" spans="1:39" s="163" customFormat="1" ht="151.5" customHeight="1" x14ac:dyDescent="0.35">
      <c r="A129" s="422"/>
      <c r="B129" s="421"/>
      <c r="C129" s="418"/>
      <c r="D129" s="418"/>
      <c r="E129" s="407"/>
      <c r="F129" s="407"/>
      <c r="G129" s="407"/>
      <c r="H129" s="424"/>
      <c r="I129" s="407"/>
      <c r="J129" s="405"/>
      <c r="K129" s="411"/>
      <c r="L129" s="414"/>
      <c r="M129" s="416"/>
      <c r="N129" s="184"/>
      <c r="O129" s="411"/>
      <c r="P129" s="414"/>
      <c r="Q129" s="430"/>
      <c r="R129" s="178">
        <v>3</v>
      </c>
      <c r="S129" s="174" t="s">
        <v>323</v>
      </c>
      <c r="T129" s="175" t="str">
        <f t="shared" si="180"/>
        <v>Probabilidad</v>
      </c>
      <c r="U129" s="179" t="s">
        <v>14</v>
      </c>
      <c r="V129" s="179" t="s">
        <v>9</v>
      </c>
      <c r="W129" s="180" t="str">
        <f t="shared" si="181"/>
        <v>40%</v>
      </c>
      <c r="X129" s="179" t="s">
        <v>19</v>
      </c>
      <c r="Y129" s="179" t="s">
        <v>22</v>
      </c>
      <c r="Z129" s="179" t="s">
        <v>110</v>
      </c>
      <c r="AA129" s="154">
        <f>IFERROR(IF(T129="Probabilidad",(AA128-(+AA128*W129)),IF(T129="Impacto",L129,"")),"")</f>
        <v>0.1512</v>
      </c>
      <c r="AB129" s="168" t="str">
        <f t="shared" si="183"/>
        <v>Muy Baja</v>
      </c>
      <c r="AC129" s="169">
        <f t="shared" si="184"/>
        <v>0.1512</v>
      </c>
      <c r="AD129" s="168" t="str">
        <f t="shared" si="185"/>
        <v>Mayor</v>
      </c>
      <c r="AE129" s="169">
        <v>0.8</v>
      </c>
      <c r="AF129" s="170" t="str">
        <f t="shared" si="187"/>
        <v>Alto</v>
      </c>
      <c r="AG129" s="171" t="s">
        <v>122</v>
      </c>
      <c r="AH129" s="174" t="s">
        <v>508</v>
      </c>
      <c r="AI129" s="164" t="s">
        <v>203</v>
      </c>
      <c r="AJ129" s="165">
        <v>44562</v>
      </c>
      <c r="AK129" s="165" t="s">
        <v>373</v>
      </c>
      <c r="AL129" s="174" t="s">
        <v>475</v>
      </c>
      <c r="AM129" s="164"/>
    </row>
    <row r="130" spans="1:39" s="163" customFormat="1" ht="151.5" customHeight="1" x14ac:dyDescent="0.35">
      <c r="A130" s="422">
        <v>43</v>
      </c>
      <c r="B130" s="419" t="s">
        <v>318</v>
      </c>
      <c r="C130" s="417" t="s">
        <v>319</v>
      </c>
      <c r="D130" s="417" t="s">
        <v>320</v>
      </c>
      <c r="E130" s="406" t="s">
        <v>120</v>
      </c>
      <c r="F130" s="426" t="s">
        <v>324</v>
      </c>
      <c r="G130" s="426" t="s">
        <v>431</v>
      </c>
      <c r="H130" s="423" t="s">
        <v>348</v>
      </c>
      <c r="I130" s="406" t="s">
        <v>328</v>
      </c>
      <c r="J130" s="404">
        <v>56</v>
      </c>
      <c r="K130" s="409" t="str">
        <f>IF(J130&lt;=0,"",IF(J130&lt;=2,"Muy Baja",IF(J130&lt;=24,"Baja",IF(J130&lt;=500,"Media",IF(J130&lt;=5000,"Alta","Muy Alta")))))</f>
        <v>Media</v>
      </c>
      <c r="L130" s="412">
        <f>IF(K130="","",IF(K130="Muy Baja",0.2,IF(K130="Baja",0.4,IF(K130="Media",0.6,IF(K130="Alta",0.8,IF(K130="Muy Alta",1,))))))</f>
        <v>0.6</v>
      </c>
      <c r="M130" s="415" t="s">
        <v>485</v>
      </c>
      <c r="N130" s="177"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409"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412">
        <f>IF(O130="","",IF(O130="Leve",0.2,IF(O130="Menor",0.4,IF(O130="Moderado",0.6,IF(O130="Mayor",0.8,IF(O130="Catastrófico",1,))))))</f>
        <v>0.6</v>
      </c>
      <c r="Q130" s="428"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78">
        <v>1</v>
      </c>
      <c r="S130" s="174" t="s">
        <v>321</v>
      </c>
      <c r="T130" s="175" t="str">
        <f t="shared" si="180"/>
        <v>Probabilidad</v>
      </c>
      <c r="U130" s="179" t="s">
        <v>15</v>
      </c>
      <c r="V130" s="179" t="s">
        <v>9</v>
      </c>
      <c r="W130" s="180" t="str">
        <f t="shared" si="181"/>
        <v>30%</v>
      </c>
      <c r="X130" s="179" t="s">
        <v>20</v>
      </c>
      <c r="Y130" s="179" t="s">
        <v>23</v>
      </c>
      <c r="Z130" s="179" t="s">
        <v>111</v>
      </c>
      <c r="AA130" s="154">
        <f t="shared" si="182"/>
        <v>0.42</v>
      </c>
      <c r="AB130" s="168" t="str">
        <f t="shared" si="183"/>
        <v>Media</v>
      </c>
      <c r="AC130" s="169">
        <f t="shared" si="184"/>
        <v>0.42</v>
      </c>
      <c r="AD130" s="168" t="str">
        <f t="shared" si="185"/>
        <v>Moderado</v>
      </c>
      <c r="AE130" s="169">
        <f t="shared" si="186"/>
        <v>0.6</v>
      </c>
      <c r="AF130" s="170" t="str">
        <f t="shared" si="187"/>
        <v>Moderado</v>
      </c>
      <c r="AG130" s="171" t="s">
        <v>122</v>
      </c>
      <c r="AH130" s="174" t="s">
        <v>325</v>
      </c>
      <c r="AI130" s="166" t="s">
        <v>212</v>
      </c>
      <c r="AJ130" s="165">
        <v>44562</v>
      </c>
      <c r="AK130" s="165" t="s">
        <v>373</v>
      </c>
      <c r="AL130" s="174" t="s">
        <v>477</v>
      </c>
      <c r="AM130" s="164"/>
    </row>
    <row r="131" spans="1:39" s="163" customFormat="1" ht="151.5" customHeight="1" x14ac:dyDescent="0.35">
      <c r="A131" s="422"/>
      <c r="B131" s="420"/>
      <c r="C131" s="418"/>
      <c r="D131" s="418"/>
      <c r="E131" s="407"/>
      <c r="F131" s="407"/>
      <c r="G131" s="407"/>
      <c r="H131" s="424"/>
      <c r="I131" s="407"/>
      <c r="J131" s="405"/>
      <c r="K131" s="410"/>
      <c r="L131" s="413"/>
      <c r="M131" s="416"/>
      <c r="N131" s="184"/>
      <c r="O131" s="410"/>
      <c r="P131" s="413"/>
      <c r="Q131" s="429"/>
      <c r="R131" s="178">
        <v>2</v>
      </c>
      <c r="S131" s="174" t="s">
        <v>322</v>
      </c>
      <c r="T131" s="175" t="str">
        <f t="shared" si="180"/>
        <v>Probabilidad</v>
      </c>
      <c r="U131" s="179" t="s">
        <v>15</v>
      </c>
      <c r="V131" s="179" t="s">
        <v>9</v>
      </c>
      <c r="W131" s="180" t="str">
        <f t="shared" si="181"/>
        <v>30%</v>
      </c>
      <c r="X131" s="179" t="s">
        <v>20</v>
      </c>
      <c r="Y131" s="179" t="s">
        <v>23</v>
      </c>
      <c r="Z131" s="179" t="s">
        <v>111</v>
      </c>
      <c r="AA131" s="154">
        <f>IFERROR(IF(T131="Probabilidad",(AA130-(+AA130*W131)),IF(T131="Impacto",L131,"")),"")</f>
        <v>0.29399999999999998</v>
      </c>
      <c r="AB131" s="168" t="str">
        <f t="shared" si="183"/>
        <v>Baja</v>
      </c>
      <c r="AC131" s="169">
        <f t="shared" si="184"/>
        <v>0.29399999999999998</v>
      </c>
      <c r="AD131" s="168" t="str">
        <f t="shared" si="185"/>
        <v>Moderado</v>
      </c>
      <c r="AE131" s="169">
        <v>0.6</v>
      </c>
      <c r="AF131" s="170" t="str">
        <f t="shared" si="187"/>
        <v>Moderado</v>
      </c>
      <c r="AG131" s="171" t="s">
        <v>122</v>
      </c>
      <c r="AH131" s="174" t="s">
        <v>508</v>
      </c>
      <c r="AI131" s="164" t="s">
        <v>203</v>
      </c>
      <c r="AJ131" s="165">
        <v>44562</v>
      </c>
      <c r="AK131" s="165" t="s">
        <v>373</v>
      </c>
      <c r="AL131" s="174" t="s">
        <v>477</v>
      </c>
      <c r="AM131" s="164"/>
    </row>
    <row r="132" spans="1:39" s="163" customFormat="1" ht="151.5" customHeight="1" x14ac:dyDescent="0.35">
      <c r="A132" s="422"/>
      <c r="B132" s="421"/>
      <c r="C132" s="418"/>
      <c r="D132" s="418"/>
      <c r="E132" s="407"/>
      <c r="F132" s="407"/>
      <c r="G132" s="407"/>
      <c r="H132" s="424"/>
      <c r="I132" s="407"/>
      <c r="J132" s="405"/>
      <c r="K132" s="411"/>
      <c r="L132" s="414"/>
      <c r="M132" s="416"/>
      <c r="N132" s="184"/>
      <c r="O132" s="411"/>
      <c r="P132" s="414"/>
      <c r="Q132" s="430"/>
      <c r="R132" s="178">
        <v>3</v>
      </c>
      <c r="S132" s="174" t="s">
        <v>323</v>
      </c>
      <c r="T132" s="175" t="str">
        <f t="shared" si="180"/>
        <v>Probabilidad</v>
      </c>
      <c r="U132" s="179" t="s">
        <v>15</v>
      </c>
      <c r="V132" s="179" t="s">
        <v>9</v>
      </c>
      <c r="W132" s="180" t="str">
        <f t="shared" si="181"/>
        <v>30%</v>
      </c>
      <c r="X132" s="179" t="s">
        <v>20</v>
      </c>
      <c r="Y132" s="179" t="s">
        <v>23</v>
      </c>
      <c r="Z132" s="179" t="s">
        <v>111</v>
      </c>
      <c r="AA132" s="154">
        <f>IFERROR(IF(T132="Probabilidad",(AA131-(+AA131*W132)),IF(T132="Impacto",L132,"")),"")</f>
        <v>0.20579999999999998</v>
      </c>
      <c r="AB132" s="168" t="str">
        <f t="shared" si="183"/>
        <v>Baja</v>
      </c>
      <c r="AC132" s="169">
        <f t="shared" si="184"/>
        <v>0.20579999999999998</v>
      </c>
      <c r="AD132" s="168" t="str">
        <f t="shared" si="185"/>
        <v>Moderado</v>
      </c>
      <c r="AE132" s="169">
        <v>0.6</v>
      </c>
      <c r="AF132" s="170" t="str">
        <f t="shared" si="187"/>
        <v>Moderado</v>
      </c>
      <c r="AG132" s="171" t="s">
        <v>122</v>
      </c>
      <c r="AH132" s="174" t="s">
        <v>478</v>
      </c>
      <c r="AI132" s="164" t="s">
        <v>212</v>
      </c>
      <c r="AJ132" s="165">
        <v>44562</v>
      </c>
      <c r="AK132" s="165" t="s">
        <v>373</v>
      </c>
      <c r="AL132" s="174" t="s">
        <v>477</v>
      </c>
      <c r="AM132" s="164"/>
    </row>
    <row r="133" spans="1:39" s="163" customFormat="1" ht="151.5" customHeight="1" x14ac:dyDescent="0.35">
      <c r="A133" s="422">
        <v>44</v>
      </c>
      <c r="B133" s="401" t="s">
        <v>318</v>
      </c>
      <c r="C133" s="417" t="s">
        <v>319</v>
      </c>
      <c r="D133" s="417" t="s">
        <v>320</v>
      </c>
      <c r="E133" s="406" t="s">
        <v>120</v>
      </c>
      <c r="F133" s="406" t="s">
        <v>430</v>
      </c>
      <c r="G133" s="406" t="s">
        <v>432</v>
      </c>
      <c r="H133" s="423" t="s">
        <v>548</v>
      </c>
      <c r="I133" s="406" t="s">
        <v>115</v>
      </c>
      <c r="J133" s="404">
        <v>56</v>
      </c>
      <c r="K133" s="409" t="str">
        <f>IF(J133&lt;=0,"",IF(J133&lt;=2,"Muy Baja",IF(J133&lt;=24,"Baja",IF(J133&lt;=500,"Media",IF(J133&lt;=5000,"Alta","Muy Alta")))))</f>
        <v>Media</v>
      </c>
      <c r="L133" s="412">
        <f>IF(K133="","",IF(K133="Muy Baja",0.2,IF(K133="Baja",0.4,IF(K133="Media",0.6,IF(K133="Alta",0.8,IF(K133="Muy Alta",1,))))))</f>
        <v>0.6</v>
      </c>
      <c r="M133" s="415" t="s">
        <v>492</v>
      </c>
      <c r="N133" s="177" t="str">
        <f>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38" t="str">
        <f>IF(OR(N133='Tabla Impacto'!$C$11,N133='Tabla Impacto'!$D$11),"Leve",IF(OR(N133='Tabla Impacto'!$C$12,N133='Tabla Impacto'!$D$12),"Menor",IF(OR(N133='Tabla Impacto'!$C$13,N133='Tabla Impacto'!$D$13),"Moderado",IF(OR(N133='Tabla Impacto'!$C$14,N133='Tabla Impacto'!$D$14),"Mayor",IF(OR(N133='Tabla Impacto'!$C$15,N133='Tabla Impacto'!$D$15),"Catastrófico","")))))</f>
        <v>Mayor</v>
      </c>
      <c r="P133" s="412">
        <f>IF(O133="","",IF(O133="Leve",0.2,IF(O133="Menor",0.4,IF(O133="Moderado",0.6,IF(O133="Mayor",0.8,IF(O133="Catastrófico",1,))))))</f>
        <v>0.8</v>
      </c>
      <c r="Q133" s="428"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78">
        <v>1</v>
      </c>
      <c r="S133" s="174" t="s">
        <v>549</v>
      </c>
      <c r="T133" s="175" t="str">
        <f t="shared" si="180"/>
        <v>Probabilidad</v>
      </c>
      <c r="U133" s="179" t="s">
        <v>15</v>
      </c>
      <c r="V133" s="179" t="s">
        <v>9</v>
      </c>
      <c r="W133" s="180" t="str">
        <f t="shared" si="181"/>
        <v>30%</v>
      </c>
      <c r="X133" s="179" t="s">
        <v>20</v>
      </c>
      <c r="Y133" s="179" t="s">
        <v>23</v>
      </c>
      <c r="Z133" s="179" t="s">
        <v>111</v>
      </c>
      <c r="AA133" s="154">
        <f t="shared" si="182"/>
        <v>0.42</v>
      </c>
      <c r="AB133" s="168" t="str">
        <f t="shared" si="183"/>
        <v>Media</v>
      </c>
      <c r="AC133" s="169">
        <f t="shared" si="184"/>
        <v>0.42</v>
      </c>
      <c r="AD133" s="168" t="str">
        <f t="shared" si="185"/>
        <v>Mayor</v>
      </c>
      <c r="AE133" s="169">
        <f t="shared" si="186"/>
        <v>0.8</v>
      </c>
      <c r="AF133" s="170" t="str">
        <f t="shared" si="187"/>
        <v>Alto</v>
      </c>
      <c r="AG133" s="171" t="s">
        <v>122</v>
      </c>
      <c r="AH133" s="191" t="s">
        <v>479</v>
      </c>
      <c r="AI133" s="164" t="s">
        <v>198</v>
      </c>
      <c r="AJ133" s="165">
        <v>44562</v>
      </c>
      <c r="AK133" s="165" t="s">
        <v>373</v>
      </c>
      <c r="AL133" s="191" t="s">
        <v>480</v>
      </c>
      <c r="AM133" s="164"/>
    </row>
    <row r="134" spans="1:39" s="163" customFormat="1" ht="151.5" customHeight="1" x14ac:dyDescent="0.35">
      <c r="A134" s="422"/>
      <c r="B134" s="402"/>
      <c r="C134" s="418"/>
      <c r="D134" s="418"/>
      <c r="E134" s="407"/>
      <c r="F134" s="407"/>
      <c r="G134" s="407"/>
      <c r="H134" s="424"/>
      <c r="I134" s="407"/>
      <c r="J134" s="405"/>
      <c r="K134" s="410"/>
      <c r="L134" s="413"/>
      <c r="M134" s="416"/>
      <c r="N134" s="184"/>
      <c r="O134" s="410"/>
      <c r="P134" s="413"/>
      <c r="Q134" s="429"/>
      <c r="R134" s="178">
        <v>2</v>
      </c>
      <c r="S134" s="174"/>
      <c r="T134" s="158"/>
      <c r="U134" s="146"/>
      <c r="V134" s="146"/>
      <c r="W134" s="147"/>
      <c r="X134" s="146"/>
      <c r="Y134" s="146"/>
      <c r="Z134" s="146"/>
      <c r="AA134" s="148"/>
      <c r="AB134" s="135"/>
      <c r="AC134" s="149"/>
      <c r="AD134" s="135"/>
      <c r="AE134" s="149"/>
      <c r="AF134" s="150"/>
      <c r="AG134" s="151"/>
      <c r="AH134" s="174" t="s">
        <v>326</v>
      </c>
      <c r="AI134" s="164" t="s">
        <v>203</v>
      </c>
      <c r="AJ134" s="165">
        <v>44562</v>
      </c>
      <c r="AK134" s="165" t="s">
        <v>373</v>
      </c>
      <c r="AL134" s="191" t="s">
        <v>480</v>
      </c>
      <c r="AM134" s="164"/>
    </row>
    <row r="135" spans="1:39" s="163" customFormat="1" ht="151.5" customHeight="1" x14ac:dyDescent="0.35">
      <c r="A135" s="422"/>
      <c r="B135" s="403"/>
      <c r="C135" s="418"/>
      <c r="D135" s="418"/>
      <c r="E135" s="407"/>
      <c r="F135" s="407"/>
      <c r="G135" s="407"/>
      <c r="H135" s="424"/>
      <c r="I135" s="407"/>
      <c r="J135" s="405"/>
      <c r="K135" s="411"/>
      <c r="L135" s="414"/>
      <c r="M135" s="416"/>
      <c r="N135" s="184"/>
      <c r="O135" s="411"/>
      <c r="P135" s="414"/>
      <c r="Q135" s="430"/>
      <c r="R135" s="178">
        <v>3</v>
      </c>
      <c r="S135" s="174"/>
      <c r="T135" s="158"/>
      <c r="U135" s="146"/>
      <c r="V135" s="146"/>
      <c r="W135" s="147"/>
      <c r="X135" s="146"/>
      <c r="Y135" s="146"/>
      <c r="Z135" s="146"/>
      <c r="AA135" s="148"/>
      <c r="AB135" s="135"/>
      <c r="AC135" s="149"/>
      <c r="AD135" s="135"/>
      <c r="AE135" s="149"/>
      <c r="AF135" s="150"/>
      <c r="AG135" s="151"/>
      <c r="AH135" s="191" t="s">
        <v>509</v>
      </c>
      <c r="AI135" s="164" t="s">
        <v>203</v>
      </c>
      <c r="AJ135" s="165">
        <v>44562</v>
      </c>
      <c r="AK135" s="165" t="s">
        <v>373</v>
      </c>
      <c r="AL135" s="191" t="s">
        <v>480</v>
      </c>
      <c r="AM135" s="164"/>
    </row>
    <row r="136" spans="1:39" s="163" customFormat="1" ht="151.5" customHeight="1" x14ac:dyDescent="0.35">
      <c r="A136" s="422">
        <v>45</v>
      </c>
      <c r="B136" s="419" t="s">
        <v>565</v>
      </c>
      <c r="C136" s="419" t="s">
        <v>564</v>
      </c>
      <c r="D136" s="419" t="s">
        <v>566</v>
      </c>
      <c r="E136" s="406" t="s">
        <v>118</v>
      </c>
      <c r="F136" s="406" t="s">
        <v>570</v>
      </c>
      <c r="G136" s="406" t="s">
        <v>569</v>
      </c>
      <c r="H136" s="423" t="s">
        <v>561</v>
      </c>
      <c r="I136" s="406" t="s">
        <v>115</v>
      </c>
      <c r="J136" s="404">
        <v>10</v>
      </c>
      <c r="K136" s="409" t="str">
        <f>IF(J136&lt;=0,"",IF(J136&lt;=2,"Muy Baja",IF(J136&lt;=24,"Baja",IF(J136&lt;=500,"Media",IF(J136&lt;=5000,"Alta","Muy Alta")))))</f>
        <v>Baja</v>
      </c>
      <c r="L136" s="412">
        <f>IF(K136="","",IF(K136="Muy Baja",0.2,IF(K136="Baja",0.4,IF(K136="Media",0.6,IF(K136="Alta",0.8,IF(K136="Muy Alta",1,))))))</f>
        <v>0.4</v>
      </c>
      <c r="M136" s="415" t="s">
        <v>492</v>
      </c>
      <c r="N136" s="177"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409"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412">
        <f>IF(O136="","",IF(O136="Leve",0.2,IF(O136="Menor",0.4,IF(O136="Moderado",0.6,IF(O136="Mayor",0.8,IF(O136="Catastrófico",1,))))))</f>
        <v>0.8</v>
      </c>
      <c r="Q136" s="428"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78">
        <v>1</v>
      </c>
      <c r="S136" s="174" t="s">
        <v>586</v>
      </c>
      <c r="T136" s="237" t="str">
        <f t="shared" si="180"/>
        <v>Probabilidad</v>
      </c>
      <c r="U136" s="179" t="s">
        <v>14</v>
      </c>
      <c r="V136" s="179" t="s">
        <v>9</v>
      </c>
      <c r="W136" s="180" t="str">
        <f t="shared" si="181"/>
        <v>40%</v>
      </c>
      <c r="X136" s="179" t="s">
        <v>19</v>
      </c>
      <c r="Y136" s="179" t="s">
        <v>22</v>
      </c>
      <c r="Z136" s="179" t="s">
        <v>110</v>
      </c>
      <c r="AA136" s="154">
        <f t="shared" si="182"/>
        <v>0.24</v>
      </c>
      <c r="AB136" s="168" t="str">
        <f t="shared" si="183"/>
        <v>Baja</v>
      </c>
      <c r="AC136" s="169">
        <f t="shared" si="184"/>
        <v>0.24</v>
      </c>
      <c r="AD136" s="168" t="str">
        <f t="shared" si="185"/>
        <v>Mayor</v>
      </c>
      <c r="AE136" s="169">
        <f t="shared" si="186"/>
        <v>0.8</v>
      </c>
      <c r="AF136" s="170" t="str">
        <f t="shared" si="187"/>
        <v>Alto</v>
      </c>
      <c r="AG136" s="171" t="s">
        <v>122</v>
      </c>
      <c r="AH136" s="166" t="s">
        <v>587</v>
      </c>
      <c r="AI136" s="164" t="s">
        <v>260</v>
      </c>
      <c r="AJ136" s="165" t="s">
        <v>286</v>
      </c>
      <c r="AK136" s="165" t="s">
        <v>287</v>
      </c>
      <c r="AL136" s="166" t="s">
        <v>571</v>
      </c>
      <c r="AM136" s="164"/>
    </row>
    <row r="137" spans="1:39" s="163" customFormat="1" ht="151.5" customHeight="1" x14ac:dyDescent="0.35">
      <c r="A137" s="422"/>
      <c r="B137" s="420"/>
      <c r="C137" s="420"/>
      <c r="D137" s="420"/>
      <c r="E137" s="407"/>
      <c r="F137" s="407"/>
      <c r="G137" s="407"/>
      <c r="H137" s="424"/>
      <c r="I137" s="407"/>
      <c r="J137" s="405"/>
      <c r="K137" s="410"/>
      <c r="L137" s="413"/>
      <c r="M137" s="416"/>
      <c r="N137" s="184"/>
      <c r="O137" s="410"/>
      <c r="P137" s="413"/>
      <c r="Q137" s="429"/>
      <c r="R137" s="178">
        <v>2</v>
      </c>
      <c r="S137" s="174"/>
      <c r="T137" s="175" t="str">
        <f t="shared" si="180"/>
        <v/>
      </c>
      <c r="U137" s="179"/>
      <c r="V137" s="179"/>
      <c r="W137" s="180" t="str">
        <f t="shared" si="181"/>
        <v/>
      </c>
      <c r="X137" s="179"/>
      <c r="Y137" s="179"/>
      <c r="Z137" s="179"/>
      <c r="AA137" s="154" t="str">
        <f t="shared" si="182"/>
        <v/>
      </c>
      <c r="AB137" s="168" t="str">
        <f t="shared" si="183"/>
        <v/>
      </c>
      <c r="AC137" s="169" t="str">
        <f t="shared" si="184"/>
        <v/>
      </c>
      <c r="AD137" s="168" t="str">
        <f t="shared" si="185"/>
        <v/>
      </c>
      <c r="AE137" s="169" t="str">
        <f t="shared" si="186"/>
        <v/>
      </c>
      <c r="AF137" s="170" t="str">
        <f t="shared" si="187"/>
        <v/>
      </c>
      <c r="AG137" s="171"/>
      <c r="AH137" s="166"/>
      <c r="AI137" s="164"/>
      <c r="AJ137" s="165"/>
      <c r="AK137" s="165"/>
      <c r="AL137" s="166"/>
      <c r="AM137" s="164"/>
    </row>
    <row r="138" spans="1:39" s="163" customFormat="1" ht="151.5" customHeight="1" x14ac:dyDescent="0.35">
      <c r="A138" s="422"/>
      <c r="B138" s="421"/>
      <c r="C138" s="421"/>
      <c r="D138" s="421"/>
      <c r="E138" s="440"/>
      <c r="F138" s="440"/>
      <c r="G138" s="440"/>
      <c r="H138" s="441"/>
      <c r="I138" s="440"/>
      <c r="J138" s="443"/>
      <c r="K138" s="411"/>
      <c r="L138" s="414"/>
      <c r="M138" s="439"/>
      <c r="N138" s="184"/>
      <c r="O138" s="411"/>
      <c r="P138" s="414"/>
      <c r="Q138" s="430"/>
      <c r="R138" s="178">
        <v>3</v>
      </c>
      <c r="S138" s="174"/>
      <c r="T138" s="175" t="str">
        <f t="shared" si="180"/>
        <v/>
      </c>
      <c r="U138" s="179"/>
      <c r="V138" s="179"/>
      <c r="W138" s="180" t="str">
        <f t="shared" si="181"/>
        <v/>
      </c>
      <c r="X138" s="179"/>
      <c r="Y138" s="179"/>
      <c r="Z138" s="179"/>
      <c r="AA138" s="154" t="str">
        <f t="shared" si="182"/>
        <v/>
      </c>
      <c r="AB138" s="168" t="str">
        <f t="shared" si="183"/>
        <v/>
      </c>
      <c r="AC138" s="169" t="str">
        <f t="shared" si="184"/>
        <v/>
      </c>
      <c r="AD138" s="168" t="str">
        <f t="shared" si="185"/>
        <v/>
      </c>
      <c r="AE138" s="169" t="str">
        <f t="shared" si="186"/>
        <v/>
      </c>
      <c r="AF138" s="170" t="str">
        <f t="shared" si="187"/>
        <v/>
      </c>
      <c r="AG138" s="171"/>
      <c r="AH138" s="166"/>
      <c r="AI138" s="164"/>
      <c r="AJ138" s="165"/>
      <c r="AK138" s="165"/>
      <c r="AL138" s="166"/>
      <c r="AM138" s="164"/>
    </row>
    <row r="139" spans="1:39" s="163" customFormat="1" ht="151.5" customHeight="1" x14ac:dyDescent="0.35">
      <c r="A139" s="422">
        <v>46</v>
      </c>
      <c r="B139" s="419" t="s">
        <v>565</v>
      </c>
      <c r="C139" s="419" t="s">
        <v>564</v>
      </c>
      <c r="D139" s="419" t="s">
        <v>566</v>
      </c>
      <c r="E139" s="406" t="s">
        <v>118</v>
      </c>
      <c r="F139" s="406" t="s">
        <v>567</v>
      </c>
      <c r="G139" s="406" t="s">
        <v>568</v>
      </c>
      <c r="H139" s="423" t="s">
        <v>562</v>
      </c>
      <c r="I139" s="406" t="s">
        <v>328</v>
      </c>
      <c r="J139" s="404">
        <v>20</v>
      </c>
      <c r="K139" s="409" t="str">
        <f>IF(J139&lt;=0,"",IF(J139&lt;=2,"Muy Baja",IF(J139&lt;=24,"Baja",IF(J139&lt;=500,"Media",IF(J139&lt;=5000,"Alta","Muy Alta")))))</f>
        <v>Baja</v>
      </c>
      <c r="L139" s="412">
        <f>IF(K139="","",IF(K139="Muy Baja",0.2,IF(K139="Baja",0.4,IF(K139="Media",0.6,IF(K139="Alta",0.8,IF(K139="Muy Alta",1,))))))</f>
        <v>0.4</v>
      </c>
      <c r="M139" s="415" t="s">
        <v>485</v>
      </c>
      <c r="N139" s="177" t="str">
        <f>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409" t="str">
        <f>IF(OR(N139='Tabla Impacto'!$C$11,N139='Tabla Impacto'!$D$11),"Leve",IF(OR(N139='Tabla Impacto'!$C$12,N139='Tabla Impacto'!$D$12),"Menor",IF(OR(N139='Tabla Impacto'!$C$13,N139='Tabla Impacto'!$D$13),"Moderado",IF(OR(N139='Tabla Impacto'!$C$14,N139='Tabla Impacto'!$D$14),"Mayor",IF(OR(N139='Tabla Impacto'!$C$15,N139='Tabla Impacto'!$D$15),"Catastrófico","")))))</f>
        <v>Moderado</v>
      </c>
      <c r="P139" s="412">
        <f>IF(O139="","",IF(O139="Leve",0.2,IF(O139="Menor",0.4,IF(O139="Moderado",0.6,IF(O139="Mayor",0.8,IF(O139="Catastrófico",1,))))))</f>
        <v>0.6</v>
      </c>
      <c r="Q139" s="428"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78">
        <v>1</v>
      </c>
      <c r="S139" s="174" t="s">
        <v>572</v>
      </c>
      <c r="T139" s="237" t="str">
        <f t="shared" si="180"/>
        <v>Probabilidad</v>
      </c>
      <c r="U139" s="179" t="s">
        <v>15</v>
      </c>
      <c r="V139" s="179" t="s">
        <v>9</v>
      </c>
      <c r="W139" s="180" t="str">
        <f t="shared" si="181"/>
        <v>30%</v>
      </c>
      <c r="X139" s="179" t="s">
        <v>19</v>
      </c>
      <c r="Y139" s="179" t="s">
        <v>22</v>
      </c>
      <c r="Z139" s="179" t="s">
        <v>110</v>
      </c>
      <c r="AA139" s="154">
        <f t="shared" si="182"/>
        <v>0.28000000000000003</v>
      </c>
      <c r="AB139" s="168" t="str">
        <f t="shared" si="183"/>
        <v>Baja</v>
      </c>
      <c r="AC139" s="169">
        <f t="shared" si="184"/>
        <v>0.28000000000000003</v>
      </c>
      <c r="AD139" s="168" t="str">
        <f t="shared" si="185"/>
        <v>Moderado</v>
      </c>
      <c r="AE139" s="169">
        <f t="shared" si="186"/>
        <v>0.6</v>
      </c>
      <c r="AF139" s="170" t="str">
        <f t="shared" si="187"/>
        <v>Moderado</v>
      </c>
      <c r="AG139" s="171" t="s">
        <v>122</v>
      </c>
      <c r="AH139" s="166" t="s">
        <v>563</v>
      </c>
      <c r="AI139" s="164" t="s">
        <v>260</v>
      </c>
      <c r="AJ139" s="165" t="s">
        <v>286</v>
      </c>
      <c r="AK139" s="165" t="s">
        <v>287</v>
      </c>
      <c r="AL139" s="166" t="s">
        <v>591</v>
      </c>
      <c r="AM139" s="164"/>
    </row>
    <row r="140" spans="1:39" s="163" customFormat="1" ht="151.5" customHeight="1" x14ac:dyDescent="0.35">
      <c r="A140" s="422"/>
      <c r="B140" s="420"/>
      <c r="C140" s="420"/>
      <c r="D140" s="420"/>
      <c r="E140" s="407"/>
      <c r="F140" s="407"/>
      <c r="G140" s="407"/>
      <c r="H140" s="424"/>
      <c r="I140" s="407"/>
      <c r="J140" s="405"/>
      <c r="K140" s="410"/>
      <c r="L140" s="413"/>
      <c r="M140" s="416"/>
      <c r="N140" s="184"/>
      <c r="O140" s="410"/>
      <c r="P140" s="413"/>
      <c r="Q140" s="429"/>
      <c r="R140" s="178">
        <v>2</v>
      </c>
      <c r="S140" s="174"/>
      <c r="T140" s="175" t="str">
        <f t="shared" si="180"/>
        <v/>
      </c>
      <c r="U140" s="179"/>
      <c r="V140" s="179"/>
      <c r="W140" s="180" t="str">
        <f t="shared" si="181"/>
        <v/>
      </c>
      <c r="X140" s="179"/>
      <c r="Y140" s="179"/>
      <c r="Z140" s="179"/>
      <c r="AA140" s="154" t="str">
        <f t="shared" si="182"/>
        <v/>
      </c>
      <c r="AB140" s="168" t="str">
        <f t="shared" si="183"/>
        <v/>
      </c>
      <c r="AC140" s="169" t="str">
        <f t="shared" si="184"/>
        <v/>
      </c>
      <c r="AD140" s="168" t="str">
        <f t="shared" si="185"/>
        <v/>
      </c>
      <c r="AE140" s="169" t="str">
        <f t="shared" si="186"/>
        <v/>
      </c>
      <c r="AF140" s="170" t="str">
        <f t="shared" si="187"/>
        <v/>
      </c>
      <c r="AG140" s="171"/>
      <c r="AH140" s="166"/>
      <c r="AI140" s="164"/>
      <c r="AJ140" s="165"/>
      <c r="AK140" s="165"/>
      <c r="AL140" s="166"/>
      <c r="AM140" s="164"/>
    </row>
    <row r="141" spans="1:39" s="163" customFormat="1" ht="151.5" customHeight="1" x14ac:dyDescent="0.35">
      <c r="A141" s="422"/>
      <c r="B141" s="421"/>
      <c r="C141" s="421"/>
      <c r="D141" s="421"/>
      <c r="E141" s="440"/>
      <c r="F141" s="440"/>
      <c r="G141" s="440"/>
      <c r="H141" s="441"/>
      <c r="I141" s="440"/>
      <c r="J141" s="443"/>
      <c r="K141" s="411"/>
      <c r="L141" s="414"/>
      <c r="M141" s="439"/>
      <c r="N141" s="184"/>
      <c r="O141" s="411"/>
      <c r="P141" s="414"/>
      <c r="Q141" s="430"/>
      <c r="R141" s="178">
        <v>3</v>
      </c>
      <c r="S141" s="174"/>
      <c r="T141" s="175" t="str">
        <f t="shared" si="180"/>
        <v/>
      </c>
      <c r="U141" s="179"/>
      <c r="V141" s="179"/>
      <c r="W141" s="180" t="str">
        <f t="shared" si="181"/>
        <v/>
      </c>
      <c r="X141" s="179"/>
      <c r="Y141" s="179"/>
      <c r="Z141" s="179"/>
      <c r="AA141" s="154" t="str">
        <f t="shared" si="182"/>
        <v/>
      </c>
      <c r="AB141" s="168" t="str">
        <f t="shared" si="183"/>
        <v/>
      </c>
      <c r="AC141" s="169" t="str">
        <f t="shared" si="184"/>
        <v/>
      </c>
      <c r="AD141" s="168" t="str">
        <f t="shared" si="185"/>
        <v/>
      </c>
      <c r="AE141" s="169" t="str">
        <f t="shared" si="186"/>
        <v/>
      </c>
      <c r="AF141" s="170" t="str">
        <f t="shared" si="187"/>
        <v/>
      </c>
      <c r="AG141" s="171"/>
      <c r="AH141" s="166"/>
      <c r="AI141" s="164"/>
      <c r="AJ141" s="165"/>
      <c r="AK141" s="165"/>
      <c r="AL141" s="166"/>
      <c r="AM141" s="164"/>
    </row>
    <row r="142" spans="1:39" s="163" customFormat="1" ht="151.5" customHeight="1" x14ac:dyDescent="0.35">
      <c r="A142" s="422"/>
      <c r="B142" s="419" t="s">
        <v>592</v>
      </c>
      <c r="C142" s="419" t="s">
        <v>593</v>
      </c>
      <c r="D142" s="419" t="s">
        <v>594</v>
      </c>
      <c r="E142" s="406" t="s">
        <v>118</v>
      </c>
      <c r="F142" s="406" t="s">
        <v>595</v>
      </c>
      <c r="G142" s="406" t="s">
        <v>596</v>
      </c>
      <c r="H142" s="423" t="s">
        <v>597</v>
      </c>
      <c r="I142" s="406" t="s">
        <v>328</v>
      </c>
      <c r="J142" s="404">
        <v>12</v>
      </c>
      <c r="K142" s="409" t="str">
        <f>IF(J142&lt;=0,"",IF(J142&lt;=2,"Muy Baja",IF(J142&lt;=24,"Baja",IF(J142&lt;=500,"Media",IF(J142&lt;=5000,"Alta","Muy Alta")))))</f>
        <v>Baja</v>
      </c>
      <c r="L142" s="412">
        <f>IF(K142="","",IF(K142="Muy Baja",0.2,IF(K142="Baja",0.4,IF(K142="Media",0.6,IF(K142="Alta",0.8,IF(K142="Muy Alta",1,))))))</f>
        <v>0.4</v>
      </c>
      <c r="M142" s="415" t="s">
        <v>485</v>
      </c>
      <c r="N142" s="177"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409"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412">
        <f>IF(O142="","",IF(O142="Leve",0.2,IF(O142="Menor",0.4,IF(O142="Moderado",0.6,IF(O142="Mayor",0.8,IF(O142="Catastrófico",1,))))))</f>
        <v>0.6</v>
      </c>
      <c r="Q142" s="428"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78">
        <v>1</v>
      </c>
      <c r="S142" s="174" t="s">
        <v>601</v>
      </c>
      <c r="T142" s="175" t="str">
        <f t="shared" si="180"/>
        <v/>
      </c>
      <c r="U142" s="179"/>
      <c r="V142" s="179"/>
      <c r="W142" s="180" t="str">
        <f t="shared" si="181"/>
        <v/>
      </c>
      <c r="X142" s="179"/>
      <c r="Y142" s="179"/>
      <c r="Z142" s="179"/>
      <c r="AA142" s="154" t="str">
        <f t="shared" si="182"/>
        <v/>
      </c>
      <c r="AB142" s="168" t="str">
        <f t="shared" si="183"/>
        <v/>
      </c>
      <c r="AC142" s="169" t="str">
        <f t="shared" si="184"/>
        <v/>
      </c>
      <c r="AD142" s="168" t="str">
        <f t="shared" si="185"/>
        <v/>
      </c>
      <c r="AE142" s="169" t="str">
        <f t="shared" si="186"/>
        <v/>
      </c>
      <c r="AF142" s="170" t="str">
        <f t="shared" si="187"/>
        <v/>
      </c>
      <c r="AG142" s="171"/>
      <c r="AH142" s="166" t="s">
        <v>598</v>
      </c>
      <c r="AI142" s="164" t="s">
        <v>212</v>
      </c>
      <c r="AJ142" s="165" t="s">
        <v>286</v>
      </c>
      <c r="AK142" s="165" t="s">
        <v>287</v>
      </c>
      <c r="AL142" s="166" t="s">
        <v>600</v>
      </c>
      <c r="AM142" s="164"/>
    </row>
    <row r="143" spans="1:39" s="163" customFormat="1" ht="151.5" customHeight="1" x14ac:dyDescent="0.35">
      <c r="A143" s="422"/>
      <c r="B143" s="420"/>
      <c r="C143" s="420"/>
      <c r="D143" s="420"/>
      <c r="E143" s="407"/>
      <c r="F143" s="407"/>
      <c r="G143" s="407"/>
      <c r="H143" s="424"/>
      <c r="I143" s="407"/>
      <c r="J143" s="405"/>
      <c r="K143" s="410"/>
      <c r="L143" s="413"/>
      <c r="M143" s="416"/>
      <c r="N143" s="184"/>
      <c r="O143" s="410"/>
      <c r="P143" s="413"/>
      <c r="Q143" s="429"/>
      <c r="R143" s="178">
        <v>2</v>
      </c>
      <c r="S143" s="174"/>
      <c r="T143" s="175" t="str">
        <f t="shared" si="180"/>
        <v/>
      </c>
      <c r="U143" s="179"/>
      <c r="V143" s="179"/>
      <c r="W143" s="180" t="str">
        <f t="shared" si="181"/>
        <v/>
      </c>
      <c r="X143" s="179"/>
      <c r="Y143" s="179"/>
      <c r="Z143" s="179"/>
      <c r="AA143" s="154" t="str">
        <f t="shared" si="182"/>
        <v/>
      </c>
      <c r="AB143" s="168" t="str">
        <f t="shared" si="183"/>
        <v/>
      </c>
      <c r="AC143" s="169" t="str">
        <f t="shared" si="184"/>
        <v/>
      </c>
      <c r="AD143" s="168" t="str">
        <f t="shared" si="185"/>
        <v/>
      </c>
      <c r="AE143" s="169" t="str">
        <f t="shared" si="186"/>
        <v/>
      </c>
      <c r="AF143" s="170" t="str">
        <f t="shared" si="187"/>
        <v/>
      </c>
      <c r="AG143" s="171"/>
      <c r="AH143" s="166"/>
      <c r="AI143" s="164"/>
      <c r="AJ143" s="165"/>
      <c r="AK143" s="165"/>
      <c r="AL143" s="166"/>
      <c r="AM143" s="164"/>
    </row>
    <row r="144" spans="1:39" s="163" customFormat="1" ht="151.5" customHeight="1" x14ac:dyDescent="0.35">
      <c r="A144" s="422"/>
      <c r="B144" s="421"/>
      <c r="C144" s="421"/>
      <c r="D144" s="421"/>
      <c r="E144" s="440"/>
      <c r="F144" s="440"/>
      <c r="G144" s="440"/>
      <c r="H144" s="441"/>
      <c r="I144" s="440"/>
      <c r="J144" s="443"/>
      <c r="K144" s="411"/>
      <c r="L144" s="414"/>
      <c r="M144" s="439"/>
      <c r="N144" s="184"/>
      <c r="O144" s="411"/>
      <c r="P144" s="414"/>
      <c r="Q144" s="430"/>
      <c r="R144" s="178">
        <v>3</v>
      </c>
      <c r="S144" s="174"/>
      <c r="T144" s="175" t="str">
        <f t="shared" si="180"/>
        <v/>
      </c>
      <c r="U144" s="179"/>
      <c r="V144" s="179"/>
      <c r="W144" s="180" t="str">
        <f t="shared" si="181"/>
        <v/>
      </c>
      <c r="X144" s="179"/>
      <c r="Y144" s="179"/>
      <c r="Z144" s="179"/>
      <c r="AA144" s="154" t="str">
        <f t="shared" si="182"/>
        <v/>
      </c>
      <c r="AB144" s="168" t="str">
        <f t="shared" si="183"/>
        <v/>
      </c>
      <c r="AC144" s="169" t="str">
        <f t="shared" si="184"/>
        <v/>
      </c>
      <c r="AD144" s="168" t="str">
        <f t="shared" si="185"/>
        <v/>
      </c>
      <c r="AE144" s="169" t="str">
        <f t="shared" si="186"/>
        <v/>
      </c>
      <c r="AF144" s="170" t="str">
        <f t="shared" si="187"/>
        <v/>
      </c>
      <c r="AG144" s="171"/>
      <c r="AH144" s="166"/>
      <c r="AI144" s="164"/>
      <c r="AJ144" s="165"/>
      <c r="AK144" s="165"/>
      <c r="AL144" s="166"/>
      <c r="AM144" s="164"/>
    </row>
    <row r="145" spans="1:39" s="163" customFormat="1" ht="151.5" customHeight="1" x14ac:dyDescent="0.35">
      <c r="A145" s="422"/>
      <c r="B145" s="419"/>
      <c r="C145" s="431"/>
      <c r="D145" s="431"/>
      <c r="E145" s="406"/>
      <c r="F145" s="406"/>
      <c r="G145" s="406"/>
      <c r="H145" s="423"/>
      <c r="I145" s="406"/>
      <c r="J145" s="404"/>
      <c r="K145" s="409" t="str">
        <f>IF(J145&lt;=0,"",IF(J145&lt;=2,"Muy Baja",IF(J145&lt;=24,"Baja",IF(J145&lt;=500,"Media",IF(J145&lt;=5000,"Alta","Muy Alta")))))</f>
        <v/>
      </c>
      <c r="L145" s="412" t="str">
        <f>IF(K145="","",IF(K145="Muy Baja",0.2,IF(K145="Baja",0.4,IF(K145="Media",0.6,IF(K145="Alta",0.8,IF(K145="Muy Alta",1,))))))</f>
        <v/>
      </c>
      <c r="M145" s="415"/>
      <c r="N145" s="177">
        <f>IF(NOT(ISERROR(MATCH(M145,'Tabla Impacto'!$B$221:$B$223,0))),'Tabla Impacto'!$F$223&amp;"Por favor no seleccionar los criterios de impacto(Afectación Económica o presupuestal y Pérdida Reputacional)",M145)</f>
        <v>0</v>
      </c>
      <c r="O145" s="409" t="str">
        <f>IF(OR(N145='Tabla Impacto'!$C$11,N145='Tabla Impacto'!$D$11),"Leve",IF(OR(N145='Tabla Impacto'!$C$12,N145='Tabla Impacto'!$D$12),"Menor",IF(OR(N145='Tabla Impacto'!$C$13,N145='Tabla Impacto'!$D$13),"Moderado",IF(OR(N145='Tabla Impacto'!$C$14,N145='Tabla Impacto'!$D$14),"Mayor",IF(OR(N145='Tabla Impacto'!$C$15,N145='Tabla Impacto'!$D$15),"Catastrófico","")))))</f>
        <v/>
      </c>
      <c r="P145" s="412" t="str">
        <f>IF(O145="","",IF(O145="Leve",0.2,IF(O145="Menor",0.4,IF(O145="Moderado",0.6,IF(O145="Mayor",0.8,IF(O145="Catastrófico",1,))))))</f>
        <v/>
      </c>
      <c r="Q145" s="428"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78">
        <v>1</v>
      </c>
      <c r="S145" s="174"/>
      <c r="T145" s="175" t="str">
        <f t="shared" si="180"/>
        <v/>
      </c>
      <c r="U145" s="179"/>
      <c r="V145" s="179"/>
      <c r="W145" s="180" t="str">
        <f t="shared" si="181"/>
        <v/>
      </c>
      <c r="X145" s="179"/>
      <c r="Y145" s="179"/>
      <c r="Z145" s="179"/>
      <c r="AA145" s="154" t="str">
        <f t="shared" si="182"/>
        <v/>
      </c>
      <c r="AB145" s="168" t="str">
        <f t="shared" si="183"/>
        <v/>
      </c>
      <c r="AC145" s="169" t="str">
        <f t="shared" si="184"/>
        <v/>
      </c>
      <c r="AD145" s="168" t="str">
        <f t="shared" si="185"/>
        <v/>
      </c>
      <c r="AE145" s="169" t="str">
        <f t="shared" si="186"/>
        <v/>
      </c>
      <c r="AF145" s="170" t="str">
        <f t="shared" si="187"/>
        <v/>
      </c>
      <c r="AG145" s="171"/>
      <c r="AH145" s="166"/>
      <c r="AI145" s="164"/>
      <c r="AJ145" s="165"/>
      <c r="AK145" s="165"/>
      <c r="AL145" s="166"/>
      <c r="AM145" s="164"/>
    </row>
    <row r="146" spans="1:39" s="163" customFormat="1" ht="151.5" customHeight="1" x14ac:dyDescent="0.35">
      <c r="A146" s="422"/>
      <c r="B146" s="420"/>
      <c r="C146" s="422"/>
      <c r="D146" s="422"/>
      <c r="E146" s="407"/>
      <c r="F146" s="407"/>
      <c r="G146" s="407"/>
      <c r="H146" s="424"/>
      <c r="I146" s="407"/>
      <c r="J146" s="405"/>
      <c r="K146" s="410"/>
      <c r="L146" s="413"/>
      <c r="M146" s="416"/>
      <c r="N146" s="184"/>
      <c r="O146" s="410"/>
      <c r="P146" s="413"/>
      <c r="Q146" s="429"/>
      <c r="R146" s="178">
        <v>2</v>
      </c>
      <c r="S146" s="174"/>
      <c r="T146" s="175" t="str">
        <f t="shared" si="180"/>
        <v/>
      </c>
      <c r="U146" s="179"/>
      <c r="V146" s="179"/>
      <c r="W146" s="180" t="str">
        <f t="shared" si="181"/>
        <v/>
      </c>
      <c r="X146" s="179"/>
      <c r="Y146" s="179"/>
      <c r="Z146" s="179"/>
      <c r="AA146" s="154" t="str">
        <f t="shared" si="182"/>
        <v/>
      </c>
      <c r="AB146" s="168" t="str">
        <f t="shared" si="183"/>
        <v/>
      </c>
      <c r="AC146" s="169" t="str">
        <f t="shared" si="184"/>
        <v/>
      </c>
      <c r="AD146" s="168" t="str">
        <f t="shared" si="185"/>
        <v/>
      </c>
      <c r="AE146" s="169" t="str">
        <f t="shared" si="186"/>
        <v/>
      </c>
      <c r="AF146" s="170" t="str">
        <f t="shared" si="187"/>
        <v/>
      </c>
      <c r="AG146" s="171"/>
      <c r="AH146" s="166"/>
      <c r="AI146" s="164"/>
      <c r="AJ146" s="165"/>
      <c r="AK146" s="165"/>
      <c r="AL146" s="166"/>
      <c r="AM146" s="164"/>
    </row>
    <row r="147" spans="1:39" s="163" customFormat="1" ht="151.5" customHeight="1" x14ac:dyDescent="0.35">
      <c r="A147" s="422"/>
      <c r="B147" s="421"/>
      <c r="C147" s="442"/>
      <c r="D147" s="442"/>
      <c r="E147" s="440"/>
      <c r="F147" s="440"/>
      <c r="G147" s="440"/>
      <c r="H147" s="441"/>
      <c r="I147" s="440"/>
      <c r="J147" s="443"/>
      <c r="K147" s="411"/>
      <c r="L147" s="414"/>
      <c r="M147" s="439"/>
      <c r="N147" s="184"/>
      <c r="O147" s="411"/>
      <c r="P147" s="414"/>
      <c r="Q147" s="430"/>
      <c r="R147" s="178">
        <v>3</v>
      </c>
      <c r="S147" s="174"/>
      <c r="T147" s="175" t="str">
        <f t="shared" si="180"/>
        <v/>
      </c>
      <c r="U147" s="179"/>
      <c r="V147" s="179"/>
      <c r="W147" s="180" t="str">
        <f t="shared" si="181"/>
        <v/>
      </c>
      <c r="X147" s="179"/>
      <c r="Y147" s="179"/>
      <c r="Z147" s="179"/>
      <c r="AA147" s="154" t="str">
        <f t="shared" si="182"/>
        <v/>
      </c>
      <c r="AB147" s="168" t="str">
        <f t="shared" si="183"/>
        <v/>
      </c>
      <c r="AC147" s="169" t="str">
        <f t="shared" si="184"/>
        <v/>
      </c>
      <c r="AD147" s="168" t="str">
        <f t="shared" si="185"/>
        <v/>
      </c>
      <c r="AE147" s="169" t="str">
        <f t="shared" si="186"/>
        <v/>
      </c>
      <c r="AF147" s="170" t="str">
        <f t="shared" si="187"/>
        <v/>
      </c>
      <c r="AG147" s="171"/>
      <c r="AH147" s="166"/>
      <c r="AI147" s="164"/>
      <c r="AJ147" s="165"/>
      <c r="AK147" s="165"/>
      <c r="AL147" s="166"/>
      <c r="AM147" s="164"/>
    </row>
    <row r="148" spans="1:39" s="163" customFormat="1" ht="151.5" customHeight="1" x14ac:dyDescent="0.35">
      <c r="A148" s="422"/>
      <c r="B148" s="419"/>
      <c r="C148" s="431"/>
      <c r="D148" s="431"/>
      <c r="E148" s="406"/>
      <c r="F148" s="406"/>
      <c r="G148" s="406"/>
      <c r="H148" s="423"/>
      <c r="I148" s="406"/>
      <c r="J148" s="404"/>
      <c r="K148" s="409" t="str">
        <f>IF(J148&lt;=0,"",IF(J148&lt;=2,"Muy Baja",IF(J148&lt;=24,"Baja",IF(J148&lt;=500,"Media",IF(J148&lt;=5000,"Alta","Muy Alta")))))</f>
        <v/>
      </c>
      <c r="L148" s="412" t="str">
        <f>IF(K148="","",IF(K148="Muy Baja",0.2,IF(K148="Baja",0.4,IF(K148="Media",0.6,IF(K148="Alta",0.8,IF(K148="Muy Alta",1,))))))</f>
        <v/>
      </c>
      <c r="M148" s="415"/>
      <c r="N148" s="177">
        <f>IF(NOT(ISERROR(MATCH(M148,'Tabla Impacto'!$B$221:$B$223,0))),'Tabla Impacto'!$F$223&amp;"Por favor no seleccionar los criterios de impacto(Afectación Económica o presupuestal y Pérdida Reputacional)",M148)</f>
        <v>0</v>
      </c>
      <c r="O148" s="409" t="str">
        <f>IF(OR(N148='Tabla Impacto'!$C$11,N148='Tabla Impacto'!$D$11),"Leve",IF(OR(N148='Tabla Impacto'!$C$12,N148='Tabla Impacto'!$D$12),"Menor",IF(OR(N148='Tabla Impacto'!$C$13,N148='Tabla Impacto'!$D$13),"Moderado",IF(OR(N148='Tabla Impacto'!$C$14,N148='Tabla Impacto'!$D$14),"Mayor",IF(OR(N148='Tabla Impacto'!$C$15,N148='Tabla Impacto'!$D$15),"Catastrófico","")))))</f>
        <v/>
      </c>
      <c r="P148" s="412" t="str">
        <f>IF(O148="","",IF(O148="Leve",0.2,IF(O148="Menor",0.4,IF(O148="Moderado",0.6,IF(O148="Mayor",0.8,IF(O148="Catastrófico",1,))))))</f>
        <v/>
      </c>
      <c r="Q148" s="428"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78">
        <v>1</v>
      </c>
      <c r="S148" s="174"/>
      <c r="T148" s="175" t="str">
        <f t="shared" si="180"/>
        <v/>
      </c>
      <c r="U148" s="179"/>
      <c r="V148" s="179"/>
      <c r="W148" s="180" t="str">
        <f t="shared" si="181"/>
        <v/>
      </c>
      <c r="X148" s="179"/>
      <c r="Y148" s="179"/>
      <c r="Z148" s="179"/>
      <c r="AA148" s="154" t="str">
        <f t="shared" si="182"/>
        <v/>
      </c>
      <c r="AB148" s="168" t="str">
        <f t="shared" si="183"/>
        <v/>
      </c>
      <c r="AC148" s="169" t="str">
        <f t="shared" si="184"/>
        <v/>
      </c>
      <c r="AD148" s="168" t="str">
        <f t="shared" si="185"/>
        <v/>
      </c>
      <c r="AE148" s="169" t="str">
        <f t="shared" si="186"/>
        <v/>
      </c>
      <c r="AF148" s="170" t="str">
        <f t="shared" si="187"/>
        <v/>
      </c>
      <c r="AG148" s="171"/>
      <c r="AH148" s="166"/>
      <c r="AI148" s="164"/>
      <c r="AJ148" s="165"/>
      <c r="AK148" s="165"/>
      <c r="AL148" s="166"/>
      <c r="AM148" s="164"/>
    </row>
    <row r="149" spans="1:39" s="163" customFormat="1" ht="151.5" customHeight="1" x14ac:dyDescent="0.35">
      <c r="A149" s="422"/>
      <c r="B149" s="420"/>
      <c r="C149" s="422"/>
      <c r="D149" s="422"/>
      <c r="E149" s="407"/>
      <c r="F149" s="407"/>
      <c r="G149" s="407"/>
      <c r="H149" s="424"/>
      <c r="I149" s="407"/>
      <c r="J149" s="405"/>
      <c r="K149" s="410"/>
      <c r="L149" s="413"/>
      <c r="M149" s="416"/>
      <c r="N149" s="184"/>
      <c r="O149" s="410"/>
      <c r="P149" s="413"/>
      <c r="Q149" s="429"/>
      <c r="R149" s="178">
        <v>2</v>
      </c>
      <c r="S149" s="174"/>
      <c r="T149" s="175" t="str">
        <f t="shared" si="180"/>
        <v/>
      </c>
      <c r="U149" s="179"/>
      <c r="V149" s="179"/>
      <c r="W149" s="180" t="str">
        <f t="shared" si="181"/>
        <v/>
      </c>
      <c r="X149" s="179"/>
      <c r="Y149" s="179"/>
      <c r="Z149" s="179"/>
      <c r="AA149" s="154" t="str">
        <f t="shared" si="182"/>
        <v/>
      </c>
      <c r="AB149" s="168" t="str">
        <f t="shared" si="183"/>
        <v/>
      </c>
      <c r="AC149" s="169" t="str">
        <f t="shared" si="184"/>
        <v/>
      </c>
      <c r="AD149" s="168" t="str">
        <f t="shared" si="185"/>
        <v/>
      </c>
      <c r="AE149" s="169" t="str">
        <f t="shared" si="186"/>
        <v/>
      </c>
      <c r="AF149" s="170" t="str">
        <f t="shared" si="187"/>
        <v/>
      </c>
      <c r="AG149" s="171"/>
      <c r="AH149" s="166"/>
      <c r="AI149" s="164"/>
      <c r="AJ149" s="165"/>
      <c r="AK149" s="165"/>
      <c r="AL149" s="166"/>
      <c r="AM149" s="164"/>
    </row>
    <row r="150" spans="1:39" s="163" customFormat="1" ht="151.5" customHeight="1" x14ac:dyDescent="0.35">
      <c r="A150" s="442"/>
      <c r="B150" s="421"/>
      <c r="C150" s="442"/>
      <c r="D150" s="442"/>
      <c r="E150" s="440"/>
      <c r="F150" s="440"/>
      <c r="G150" s="440"/>
      <c r="H150" s="441"/>
      <c r="I150" s="440"/>
      <c r="J150" s="443"/>
      <c r="K150" s="411"/>
      <c r="L150" s="414"/>
      <c r="M150" s="439"/>
      <c r="N150" s="184"/>
      <c r="O150" s="411"/>
      <c r="P150" s="414"/>
      <c r="Q150" s="430"/>
      <c r="R150" s="178">
        <v>3</v>
      </c>
      <c r="S150" s="174"/>
      <c r="T150" s="175" t="str">
        <f t="shared" si="180"/>
        <v/>
      </c>
      <c r="U150" s="179"/>
      <c r="V150" s="179"/>
      <c r="W150" s="180" t="str">
        <f t="shared" si="181"/>
        <v/>
      </c>
      <c r="X150" s="179"/>
      <c r="Y150" s="179"/>
      <c r="Z150" s="179"/>
      <c r="AA150" s="154" t="str">
        <f t="shared" si="182"/>
        <v/>
      </c>
      <c r="AB150" s="168" t="str">
        <f t="shared" si="183"/>
        <v/>
      </c>
      <c r="AC150" s="169" t="str">
        <f t="shared" si="184"/>
        <v/>
      </c>
      <c r="AD150" s="168" t="str">
        <f t="shared" si="185"/>
        <v/>
      </c>
      <c r="AE150" s="169" t="str">
        <f t="shared" si="186"/>
        <v/>
      </c>
      <c r="AF150" s="170" t="str">
        <f t="shared" si="187"/>
        <v/>
      </c>
      <c r="AG150" s="171"/>
      <c r="AH150" s="166"/>
      <c r="AI150" s="164"/>
      <c r="AJ150" s="165"/>
      <c r="AK150" s="165"/>
      <c r="AL150" s="166"/>
      <c r="AM150" s="164"/>
    </row>
    <row r="151" spans="1:39" ht="49.5" customHeight="1" x14ac:dyDescent="0.35">
      <c r="A151" s="3"/>
      <c r="B151" s="97"/>
      <c r="C151" s="97"/>
      <c r="D151" s="97"/>
      <c r="E151" s="376" t="s">
        <v>512</v>
      </c>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377"/>
      <c r="AJ151" s="377"/>
      <c r="AK151" s="377"/>
      <c r="AL151" s="377"/>
      <c r="AM151" s="378"/>
    </row>
    <row r="153" spans="1:39" x14ac:dyDescent="0.35">
      <c r="A153" s="2"/>
      <c r="B153" s="2"/>
      <c r="C153" s="2"/>
      <c r="D153" s="2"/>
      <c r="E153" s="20" t="s">
        <v>349</v>
      </c>
      <c r="F153" s="2"/>
      <c r="G153" s="2"/>
    </row>
  </sheetData>
  <autoFilter ref="A6:CP151"/>
  <dataConsolidate/>
  <mergeCells count="810">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Q136:Q138"/>
    <mergeCell ref="K139:K141"/>
    <mergeCell ref="L139:L141"/>
    <mergeCell ref="M139:M141"/>
    <mergeCell ref="O139:O141"/>
    <mergeCell ref="P139:P141"/>
    <mergeCell ref="Q139:Q141"/>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O130:O132"/>
    <mergeCell ref="P130:P132"/>
    <mergeCell ref="Q130:Q132"/>
    <mergeCell ref="J133:J135"/>
    <mergeCell ref="K133:K135"/>
    <mergeCell ref="L133:L135"/>
    <mergeCell ref="M133:M135"/>
    <mergeCell ref="O133:O135"/>
    <mergeCell ref="P133:P135"/>
    <mergeCell ref="Q133:Q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G106:G108"/>
    <mergeCell ref="H106:H108"/>
    <mergeCell ref="I106:I108"/>
    <mergeCell ref="J106:J108"/>
    <mergeCell ref="A106:A108"/>
    <mergeCell ref="B106:B108"/>
    <mergeCell ref="C106:C108"/>
    <mergeCell ref="D106:D108"/>
    <mergeCell ref="E106:E108"/>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M103:M105"/>
    <mergeCell ref="O103:O105"/>
    <mergeCell ref="P103:P105"/>
    <mergeCell ref="Q103:Q105"/>
    <mergeCell ref="L100:L102"/>
    <mergeCell ref="M100:M102"/>
    <mergeCell ref="O100:O102"/>
    <mergeCell ref="P100:P102"/>
    <mergeCell ref="Q100:Q102"/>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Q88:Q90"/>
    <mergeCell ref="G88:G90"/>
    <mergeCell ref="H88:H90"/>
    <mergeCell ref="I88:I90"/>
    <mergeCell ref="J88:J90"/>
    <mergeCell ref="K88:K90"/>
    <mergeCell ref="E91:E93"/>
    <mergeCell ref="D91:D93"/>
    <mergeCell ref="C91:C93"/>
    <mergeCell ref="B88:B90"/>
    <mergeCell ref="C88:C90"/>
    <mergeCell ref="D88:D90"/>
    <mergeCell ref="E88:E90"/>
    <mergeCell ref="F88:F90"/>
    <mergeCell ref="L85:L87"/>
    <mergeCell ref="M85:M87"/>
    <mergeCell ref="O85:O87"/>
    <mergeCell ref="P85:P87"/>
    <mergeCell ref="L88:L90"/>
    <mergeCell ref="M88:M90"/>
    <mergeCell ref="O88:O90"/>
    <mergeCell ref="P88:P90"/>
    <mergeCell ref="Q85:Q87"/>
    <mergeCell ref="G85:G87"/>
    <mergeCell ref="H85:H87"/>
    <mergeCell ref="I85:I87"/>
    <mergeCell ref="J85:J87"/>
    <mergeCell ref="K85:K87"/>
    <mergeCell ref="B85:B87"/>
    <mergeCell ref="C85:C87"/>
    <mergeCell ref="D85:D87"/>
    <mergeCell ref="E85:E87"/>
    <mergeCell ref="F85:F87"/>
    <mergeCell ref="F79:F81"/>
    <mergeCell ref="E79:E81"/>
    <mergeCell ref="D79:D81"/>
    <mergeCell ref="C79:C81"/>
    <mergeCell ref="B79:B81"/>
    <mergeCell ref="B82:B84"/>
    <mergeCell ref="C82:C84"/>
    <mergeCell ref="D82:D84"/>
    <mergeCell ref="E82:E84"/>
    <mergeCell ref="F82:F84"/>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A64:A66"/>
    <mergeCell ref="A61:A63"/>
    <mergeCell ref="A58:A60"/>
    <mergeCell ref="B58:B60"/>
    <mergeCell ref="C58:C60"/>
    <mergeCell ref="B61:B63"/>
    <mergeCell ref="C61:C63"/>
    <mergeCell ref="B64:B66"/>
    <mergeCell ref="C64:C66"/>
    <mergeCell ref="A85:A87"/>
    <mergeCell ref="A79:A81"/>
    <mergeCell ref="A76:A78"/>
    <mergeCell ref="A73:A75"/>
    <mergeCell ref="A70:A72"/>
    <mergeCell ref="A100:A102"/>
    <mergeCell ref="A94:A96"/>
    <mergeCell ref="A91:A93"/>
    <mergeCell ref="A88:A90"/>
    <mergeCell ref="A82:A84"/>
    <mergeCell ref="A97:A99"/>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52:C54"/>
    <mergeCell ref="B52:B54"/>
    <mergeCell ref="A52:A54"/>
    <mergeCell ref="A55:A57"/>
    <mergeCell ref="B55:B57"/>
    <mergeCell ref="C55:C57"/>
    <mergeCell ref="H52:H54"/>
    <mergeCell ref="G52:G54"/>
    <mergeCell ref="F52:F54"/>
    <mergeCell ref="E52:E54"/>
    <mergeCell ref="D52:D54"/>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H46:H48"/>
    <mergeCell ref="I46:I48"/>
    <mergeCell ref="B43:B45"/>
    <mergeCell ref="C43:C45"/>
    <mergeCell ref="D43:D45"/>
    <mergeCell ref="E43:E45"/>
    <mergeCell ref="F43:F45"/>
    <mergeCell ref="G43:G45"/>
    <mergeCell ref="H43:H45"/>
    <mergeCell ref="I43:I45"/>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A40:A42"/>
    <mergeCell ref="B40:B42"/>
    <mergeCell ref="C40:C42"/>
    <mergeCell ref="D40:D42"/>
    <mergeCell ref="E40:E42"/>
    <mergeCell ref="F40:F42"/>
    <mergeCell ref="G40:G42"/>
    <mergeCell ref="H40:H42"/>
    <mergeCell ref="I40:I42"/>
    <mergeCell ref="Q37:Q39"/>
    <mergeCell ref="K37:K39"/>
    <mergeCell ref="L37:L39"/>
    <mergeCell ref="M37:M39"/>
    <mergeCell ref="O37:O39"/>
    <mergeCell ref="P37:P39"/>
    <mergeCell ref="F37:F39"/>
    <mergeCell ref="G37:G39"/>
    <mergeCell ref="H37:H39"/>
    <mergeCell ref="I37:I39"/>
    <mergeCell ref="J37:J39"/>
    <mergeCell ref="A37:A39"/>
    <mergeCell ref="B37:B39"/>
    <mergeCell ref="C37:C39"/>
    <mergeCell ref="D37:D39"/>
    <mergeCell ref="E37:E39"/>
    <mergeCell ref="G34:G36"/>
    <mergeCell ref="F34:F36"/>
    <mergeCell ref="E34:E36"/>
    <mergeCell ref="D34:D36"/>
    <mergeCell ref="C34:C36"/>
    <mergeCell ref="Q31:Q33"/>
    <mergeCell ref="Q34:Q36"/>
    <mergeCell ref="P34:P36"/>
    <mergeCell ref="O34:O36"/>
    <mergeCell ref="M34:M36"/>
    <mergeCell ref="K31:K33"/>
    <mergeCell ref="L31:L33"/>
    <mergeCell ref="M31:M33"/>
    <mergeCell ref="O31:O33"/>
    <mergeCell ref="P31:P33"/>
    <mergeCell ref="J31:J33"/>
    <mergeCell ref="A34:A36"/>
    <mergeCell ref="B34:B36"/>
    <mergeCell ref="C31:C33"/>
    <mergeCell ref="D31:D33"/>
    <mergeCell ref="E31:E33"/>
    <mergeCell ref="L34:L36"/>
    <mergeCell ref="K34:K36"/>
    <mergeCell ref="J34:J36"/>
    <mergeCell ref="I34:I36"/>
    <mergeCell ref="H34:H36"/>
    <mergeCell ref="A31:A33"/>
    <mergeCell ref="B31:B33"/>
    <mergeCell ref="G28:G30"/>
    <mergeCell ref="F28:F30"/>
    <mergeCell ref="E28:E30"/>
    <mergeCell ref="D28:D30"/>
    <mergeCell ref="F31:F33"/>
    <mergeCell ref="G31:G33"/>
    <mergeCell ref="H31:H33"/>
    <mergeCell ref="I28:I30"/>
    <mergeCell ref="I31:I33"/>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H25:H27"/>
    <mergeCell ref="I25:I27"/>
    <mergeCell ref="I19:I21"/>
    <mergeCell ref="J19:J21"/>
    <mergeCell ref="K19:K21"/>
    <mergeCell ref="L19:L21"/>
    <mergeCell ref="M19:M21"/>
    <mergeCell ref="O19:O21"/>
    <mergeCell ref="P19:P21"/>
    <mergeCell ref="P25:P27"/>
    <mergeCell ref="H19:H21"/>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B16:B18"/>
    <mergeCell ref="C16:C18"/>
    <mergeCell ref="D16:D18"/>
    <mergeCell ref="E16:E18"/>
    <mergeCell ref="F16:F18"/>
    <mergeCell ref="G16:G18"/>
    <mergeCell ref="H16:H18"/>
    <mergeCell ref="K16:K18"/>
    <mergeCell ref="L16:L18"/>
    <mergeCell ref="I16:I18"/>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2:Q84"/>
    <mergeCell ref="G82:G84"/>
    <mergeCell ref="H82:H84"/>
    <mergeCell ref="I82:I84"/>
    <mergeCell ref="J82:J84"/>
    <mergeCell ref="K82:K84"/>
    <mergeCell ref="L82:L84"/>
    <mergeCell ref="M82:M84"/>
    <mergeCell ref="O82:O84"/>
    <mergeCell ref="P82:P84"/>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s>
  <conditionalFormatting sqref="K7 AB7:AB15">
    <cfRule type="cellIs" dxfId="2592" priority="3309" operator="equal">
      <formula>"Muy Alta"</formula>
    </cfRule>
    <cfRule type="cellIs" dxfId="2591" priority="3310" operator="equal">
      <formula>"Alta"</formula>
    </cfRule>
    <cfRule type="cellIs" dxfId="2590" priority="3311" operator="equal">
      <formula>"Media"</formula>
    </cfRule>
    <cfRule type="cellIs" dxfId="2589" priority="3312" operator="equal">
      <formula>"Baja"</formula>
    </cfRule>
    <cfRule type="cellIs" dxfId="2588" priority="3313" operator="equal">
      <formula>"Muy Baja"</formula>
    </cfRule>
  </conditionalFormatting>
  <conditionalFormatting sqref="Q7 AF7:AF15">
    <cfRule type="cellIs" dxfId="2587" priority="3300" operator="equal">
      <formula>"Extremo"</formula>
    </cfRule>
    <cfRule type="cellIs" dxfId="2586" priority="3301" operator="equal">
      <formula>"Alto"</formula>
    </cfRule>
    <cfRule type="cellIs" dxfId="2585" priority="3302" operator="equal">
      <formula>"Moderado"</formula>
    </cfRule>
    <cfRule type="cellIs" dxfId="2584" priority="3303" operator="equal">
      <formula>"Bajo"</formula>
    </cfRule>
  </conditionalFormatting>
  <conditionalFormatting sqref="AB46 AB52 AB55 AB58 AB61 AB64 AB76 AB79 AB85 AB88 AB94:AB95 AB103 AB16 AB19">
    <cfRule type="cellIs" dxfId="2583" priority="3295" operator="equal">
      <formula>"Muy Alta"</formula>
    </cfRule>
    <cfRule type="cellIs" dxfId="2582" priority="3296" operator="equal">
      <formula>"Alta"</formula>
    </cfRule>
    <cfRule type="cellIs" dxfId="2581" priority="3297" operator="equal">
      <formula>"Media"</formula>
    </cfRule>
    <cfRule type="cellIs" dxfId="2580" priority="3298" operator="equal">
      <formula>"Baja"</formula>
    </cfRule>
    <cfRule type="cellIs" dxfId="2579" priority="3299" operator="equal">
      <formula>"Muy Baja"</formula>
    </cfRule>
  </conditionalFormatting>
  <conditionalFormatting sqref="AD46 AD52 AD55 AD58 AD61 AD64 AD76 AD79 AD85 AD88 AD94:AD95 AD103 AD19 AD7:AD16">
    <cfRule type="cellIs" dxfId="2578" priority="3290" operator="equal">
      <formula>"Catastrófico"</formula>
    </cfRule>
    <cfRule type="cellIs" dxfId="2577" priority="3291" operator="equal">
      <formula>"Mayor"</formula>
    </cfRule>
    <cfRule type="cellIs" dxfId="2576" priority="3292" operator="equal">
      <formula>"Moderado"</formula>
    </cfRule>
    <cfRule type="cellIs" dxfId="2575" priority="3293" operator="equal">
      <formula>"Menor"</formula>
    </cfRule>
    <cfRule type="cellIs" dxfId="2574" priority="3294" operator="equal">
      <formula>"Leve"</formula>
    </cfRule>
  </conditionalFormatting>
  <conditionalFormatting sqref="AF46 AF52 AF55 AF58 AF61 AF64 AF76 AF79 AF85 AF88 AF94:AF95 AF103 AF16 AF19">
    <cfRule type="cellIs" dxfId="2573" priority="3286" operator="equal">
      <formula>"Extremo"</formula>
    </cfRule>
    <cfRule type="cellIs" dxfId="2572" priority="3287" operator="equal">
      <formula>"Alto"</formula>
    </cfRule>
    <cfRule type="cellIs" dxfId="2571" priority="3288" operator="equal">
      <formula>"Moderado"</formula>
    </cfRule>
    <cfRule type="cellIs" dxfId="2570" priority="3289" operator="equal">
      <formula>"Bajo"</formula>
    </cfRule>
  </conditionalFormatting>
  <conditionalFormatting sqref="K94:K95">
    <cfRule type="cellIs" dxfId="2569" priority="1423" operator="equal">
      <formula>"Muy Alta"</formula>
    </cfRule>
    <cfRule type="cellIs" dxfId="2568" priority="1424" operator="equal">
      <formula>"Alta"</formula>
    </cfRule>
    <cfRule type="cellIs" dxfId="2567" priority="1425" operator="equal">
      <formula>"Media"</formula>
    </cfRule>
    <cfRule type="cellIs" dxfId="2566" priority="1426" operator="equal">
      <formula>"Baja"</formula>
    </cfRule>
    <cfRule type="cellIs" dxfId="2565" priority="1427" operator="equal">
      <formula>"Muy Baja"</formula>
    </cfRule>
  </conditionalFormatting>
  <conditionalFormatting sqref="K79">
    <cfRule type="cellIs" dxfId="2564" priority="1483" operator="equal">
      <formula>"Muy Alta"</formula>
    </cfRule>
    <cfRule type="cellIs" dxfId="2563" priority="1484" operator="equal">
      <formula>"Alta"</formula>
    </cfRule>
    <cfRule type="cellIs" dxfId="2562" priority="1485" operator="equal">
      <formula>"Media"</formula>
    </cfRule>
    <cfRule type="cellIs" dxfId="2561" priority="1486" operator="equal">
      <formula>"Baja"</formula>
    </cfRule>
    <cfRule type="cellIs" dxfId="2560" priority="1487" operator="equal">
      <formula>"Muy Baja"</formula>
    </cfRule>
  </conditionalFormatting>
  <conditionalFormatting sqref="N7:N9">
    <cfRule type="containsText" dxfId="2559" priority="2991" operator="containsText" text="❌">
      <formula>NOT(ISERROR(SEARCH("❌",N7)))</formula>
    </cfRule>
  </conditionalFormatting>
  <conditionalFormatting sqref="AD49">
    <cfRule type="cellIs" dxfId="2558" priority="2469" operator="equal">
      <formula>"Catastrófico"</formula>
    </cfRule>
    <cfRule type="cellIs" dxfId="2557" priority="2470" operator="equal">
      <formula>"Mayor"</formula>
    </cfRule>
    <cfRule type="cellIs" dxfId="2556" priority="2471" operator="equal">
      <formula>"Moderado"</formula>
    </cfRule>
    <cfRule type="cellIs" dxfId="2555" priority="2472" operator="equal">
      <formula>"Menor"</formula>
    </cfRule>
    <cfRule type="cellIs" dxfId="2554" priority="2473" operator="equal">
      <formula>"Leve"</formula>
    </cfRule>
  </conditionalFormatting>
  <conditionalFormatting sqref="AF49">
    <cfRule type="cellIs" dxfId="2553" priority="2465" operator="equal">
      <formula>"Extremo"</formula>
    </cfRule>
    <cfRule type="cellIs" dxfId="2552" priority="2466" operator="equal">
      <formula>"Alto"</formula>
    </cfRule>
    <cfRule type="cellIs" dxfId="2551" priority="2467" operator="equal">
      <formula>"Moderado"</formula>
    </cfRule>
    <cfRule type="cellIs" dxfId="2550" priority="2468" operator="equal">
      <formula>"Bajo"</formula>
    </cfRule>
  </conditionalFormatting>
  <conditionalFormatting sqref="AF47">
    <cfRule type="cellIs" dxfId="2549" priority="2479" operator="equal">
      <formula>"Extremo"</formula>
    </cfRule>
    <cfRule type="cellIs" dxfId="2548" priority="2480" operator="equal">
      <formula>"Alto"</formula>
    </cfRule>
    <cfRule type="cellIs" dxfId="2547" priority="2481" operator="equal">
      <formula>"Moderado"</formula>
    </cfRule>
    <cfRule type="cellIs" dxfId="2546" priority="2482" operator="equal">
      <formula>"Bajo"</formula>
    </cfRule>
  </conditionalFormatting>
  <conditionalFormatting sqref="AB20">
    <cfRule type="cellIs" dxfId="2545" priority="2894" operator="equal">
      <formula>"Muy Alta"</formula>
    </cfRule>
    <cfRule type="cellIs" dxfId="2544" priority="2895" operator="equal">
      <formula>"Alta"</formula>
    </cfRule>
    <cfRule type="cellIs" dxfId="2543" priority="2896" operator="equal">
      <formula>"Media"</formula>
    </cfRule>
    <cfRule type="cellIs" dxfId="2542" priority="2897" operator="equal">
      <formula>"Baja"</formula>
    </cfRule>
    <cfRule type="cellIs" dxfId="2541" priority="2898" operator="equal">
      <formula>"Muy Baja"</formula>
    </cfRule>
  </conditionalFormatting>
  <conditionalFormatting sqref="AD20">
    <cfRule type="cellIs" dxfId="2540" priority="2889" operator="equal">
      <formula>"Catastrófico"</formula>
    </cfRule>
    <cfRule type="cellIs" dxfId="2539" priority="2890" operator="equal">
      <formula>"Mayor"</formula>
    </cfRule>
    <cfRule type="cellIs" dxfId="2538" priority="2891" operator="equal">
      <formula>"Moderado"</formula>
    </cfRule>
    <cfRule type="cellIs" dxfId="2537" priority="2892" operator="equal">
      <formula>"Menor"</formula>
    </cfRule>
    <cfRule type="cellIs" dxfId="2536" priority="2893" operator="equal">
      <formula>"Leve"</formula>
    </cfRule>
  </conditionalFormatting>
  <conditionalFormatting sqref="AF20">
    <cfRule type="cellIs" dxfId="2535" priority="2885" operator="equal">
      <formula>"Extremo"</formula>
    </cfRule>
    <cfRule type="cellIs" dxfId="2534" priority="2886" operator="equal">
      <formula>"Alto"</formula>
    </cfRule>
    <cfRule type="cellIs" dxfId="2533" priority="2887" operator="equal">
      <formula>"Moderado"</formula>
    </cfRule>
    <cfRule type="cellIs" dxfId="2532" priority="2888" operator="equal">
      <formula>"Bajo"</formula>
    </cfRule>
  </conditionalFormatting>
  <conditionalFormatting sqref="AB21">
    <cfRule type="cellIs" dxfId="2531" priority="2880" operator="equal">
      <formula>"Muy Alta"</formula>
    </cfRule>
    <cfRule type="cellIs" dxfId="2530" priority="2881" operator="equal">
      <formula>"Alta"</formula>
    </cfRule>
    <cfRule type="cellIs" dxfId="2529" priority="2882" operator="equal">
      <formula>"Media"</formula>
    </cfRule>
    <cfRule type="cellIs" dxfId="2528" priority="2883" operator="equal">
      <formula>"Baja"</formula>
    </cfRule>
    <cfRule type="cellIs" dxfId="2527" priority="2884" operator="equal">
      <formula>"Muy Baja"</formula>
    </cfRule>
  </conditionalFormatting>
  <conditionalFormatting sqref="AD21">
    <cfRule type="cellIs" dxfId="2526" priority="2875" operator="equal">
      <formula>"Catastrófico"</formula>
    </cfRule>
    <cfRule type="cellIs" dxfId="2525" priority="2876" operator="equal">
      <formula>"Mayor"</formula>
    </cfRule>
    <cfRule type="cellIs" dxfId="2524" priority="2877" operator="equal">
      <formula>"Moderado"</formula>
    </cfRule>
    <cfRule type="cellIs" dxfId="2523" priority="2878" operator="equal">
      <formula>"Menor"</formula>
    </cfRule>
    <cfRule type="cellIs" dxfId="2522" priority="2879" operator="equal">
      <formula>"Leve"</formula>
    </cfRule>
  </conditionalFormatting>
  <conditionalFormatting sqref="AF21">
    <cfRule type="cellIs" dxfId="2521" priority="2871" operator="equal">
      <formula>"Extremo"</formula>
    </cfRule>
    <cfRule type="cellIs" dxfId="2520" priority="2872" operator="equal">
      <formula>"Alto"</formula>
    </cfRule>
    <cfRule type="cellIs" dxfId="2519" priority="2873" operator="equal">
      <formula>"Moderado"</formula>
    </cfRule>
    <cfRule type="cellIs" dxfId="2518" priority="2874" operator="equal">
      <formula>"Bajo"</formula>
    </cfRule>
  </conditionalFormatting>
  <conditionalFormatting sqref="AB22">
    <cfRule type="cellIs" dxfId="2517" priority="2866" operator="equal">
      <formula>"Muy Alta"</formula>
    </cfRule>
    <cfRule type="cellIs" dxfId="2516" priority="2867" operator="equal">
      <formula>"Alta"</formula>
    </cfRule>
    <cfRule type="cellIs" dxfId="2515" priority="2868" operator="equal">
      <formula>"Media"</formula>
    </cfRule>
    <cfRule type="cellIs" dxfId="2514" priority="2869" operator="equal">
      <formula>"Baja"</formula>
    </cfRule>
    <cfRule type="cellIs" dxfId="2513" priority="2870" operator="equal">
      <formula>"Muy Baja"</formula>
    </cfRule>
  </conditionalFormatting>
  <conditionalFormatting sqref="AD22">
    <cfRule type="cellIs" dxfId="2512" priority="2861" operator="equal">
      <formula>"Catastrófico"</formula>
    </cfRule>
    <cfRule type="cellIs" dxfId="2511" priority="2862" operator="equal">
      <formula>"Mayor"</formula>
    </cfRule>
    <cfRule type="cellIs" dxfId="2510" priority="2863" operator="equal">
      <formula>"Moderado"</formula>
    </cfRule>
    <cfRule type="cellIs" dxfId="2509" priority="2864" operator="equal">
      <formula>"Menor"</formula>
    </cfRule>
    <cfRule type="cellIs" dxfId="2508" priority="2865" operator="equal">
      <formula>"Leve"</formula>
    </cfRule>
  </conditionalFormatting>
  <conditionalFormatting sqref="AF22">
    <cfRule type="cellIs" dxfId="2507" priority="2857" operator="equal">
      <formula>"Extremo"</formula>
    </cfRule>
    <cfRule type="cellIs" dxfId="2506" priority="2858" operator="equal">
      <formula>"Alto"</formula>
    </cfRule>
    <cfRule type="cellIs" dxfId="2505" priority="2859" operator="equal">
      <formula>"Moderado"</formula>
    </cfRule>
    <cfRule type="cellIs" dxfId="2504" priority="2860" operator="equal">
      <formula>"Bajo"</formula>
    </cfRule>
  </conditionalFormatting>
  <conditionalFormatting sqref="AB23">
    <cfRule type="cellIs" dxfId="2503" priority="2852" operator="equal">
      <formula>"Muy Alta"</formula>
    </cfRule>
    <cfRule type="cellIs" dxfId="2502" priority="2853" operator="equal">
      <formula>"Alta"</formula>
    </cfRule>
    <cfRule type="cellIs" dxfId="2501" priority="2854" operator="equal">
      <formula>"Media"</formula>
    </cfRule>
    <cfRule type="cellIs" dxfId="2500" priority="2855" operator="equal">
      <formula>"Baja"</formula>
    </cfRule>
    <cfRule type="cellIs" dxfId="2499" priority="2856" operator="equal">
      <formula>"Muy Baja"</formula>
    </cfRule>
  </conditionalFormatting>
  <conditionalFormatting sqref="AD23">
    <cfRule type="cellIs" dxfId="2498" priority="2847" operator="equal">
      <formula>"Catastrófico"</formula>
    </cfRule>
    <cfRule type="cellIs" dxfId="2497" priority="2848" operator="equal">
      <formula>"Mayor"</formula>
    </cfRule>
    <cfRule type="cellIs" dxfId="2496" priority="2849" operator="equal">
      <formula>"Moderado"</formula>
    </cfRule>
    <cfRule type="cellIs" dxfId="2495" priority="2850" operator="equal">
      <formula>"Menor"</formula>
    </cfRule>
    <cfRule type="cellIs" dxfId="2494" priority="2851" operator="equal">
      <formula>"Leve"</formula>
    </cfRule>
  </conditionalFormatting>
  <conditionalFormatting sqref="AF23">
    <cfRule type="cellIs" dxfId="2493" priority="2843" operator="equal">
      <formula>"Extremo"</formula>
    </cfRule>
    <cfRule type="cellIs" dxfId="2492" priority="2844" operator="equal">
      <formula>"Alto"</formula>
    </cfRule>
    <cfRule type="cellIs" dxfId="2491" priority="2845" operator="equal">
      <formula>"Moderado"</formula>
    </cfRule>
    <cfRule type="cellIs" dxfId="2490" priority="2846" operator="equal">
      <formula>"Bajo"</formula>
    </cfRule>
  </conditionalFormatting>
  <conditionalFormatting sqref="AB24">
    <cfRule type="cellIs" dxfId="2489" priority="2838" operator="equal">
      <formula>"Muy Alta"</formula>
    </cfRule>
    <cfRule type="cellIs" dxfId="2488" priority="2839" operator="equal">
      <formula>"Alta"</formula>
    </cfRule>
    <cfRule type="cellIs" dxfId="2487" priority="2840" operator="equal">
      <formula>"Media"</formula>
    </cfRule>
    <cfRule type="cellIs" dxfId="2486" priority="2841" operator="equal">
      <formula>"Baja"</formula>
    </cfRule>
    <cfRule type="cellIs" dxfId="2485" priority="2842" operator="equal">
      <formula>"Muy Baja"</formula>
    </cfRule>
  </conditionalFormatting>
  <conditionalFormatting sqref="AD24">
    <cfRule type="cellIs" dxfId="2484" priority="2833" operator="equal">
      <formula>"Catastrófico"</formula>
    </cfRule>
    <cfRule type="cellIs" dxfId="2483" priority="2834" operator="equal">
      <formula>"Mayor"</formula>
    </cfRule>
    <cfRule type="cellIs" dxfId="2482" priority="2835" operator="equal">
      <formula>"Moderado"</formula>
    </cfRule>
    <cfRule type="cellIs" dxfId="2481" priority="2836" operator="equal">
      <formula>"Menor"</formula>
    </cfRule>
    <cfRule type="cellIs" dxfId="2480" priority="2837" operator="equal">
      <formula>"Leve"</formula>
    </cfRule>
  </conditionalFormatting>
  <conditionalFormatting sqref="AF24">
    <cfRule type="cellIs" dxfId="2479" priority="2829" operator="equal">
      <formula>"Extremo"</formula>
    </cfRule>
    <cfRule type="cellIs" dxfId="2478" priority="2830" operator="equal">
      <formula>"Alto"</formula>
    </cfRule>
    <cfRule type="cellIs" dxfId="2477" priority="2831" operator="equal">
      <formula>"Moderado"</formula>
    </cfRule>
    <cfRule type="cellIs" dxfId="2476" priority="2832" operator="equal">
      <formula>"Bajo"</formula>
    </cfRule>
  </conditionalFormatting>
  <conditionalFormatting sqref="AB25">
    <cfRule type="cellIs" dxfId="2475" priority="2824" operator="equal">
      <formula>"Muy Alta"</formula>
    </cfRule>
    <cfRule type="cellIs" dxfId="2474" priority="2825" operator="equal">
      <formula>"Alta"</formula>
    </cfRule>
    <cfRule type="cellIs" dxfId="2473" priority="2826" operator="equal">
      <formula>"Media"</formula>
    </cfRule>
    <cfRule type="cellIs" dxfId="2472" priority="2827" operator="equal">
      <formula>"Baja"</formula>
    </cfRule>
    <cfRule type="cellIs" dxfId="2471" priority="2828" operator="equal">
      <formula>"Muy Baja"</formula>
    </cfRule>
  </conditionalFormatting>
  <conditionalFormatting sqref="AD25">
    <cfRule type="cellIs" dxfId="2470" priority="2819" operator="equal">
      <formula>"Catastrófico"</formula>
    </cfRule>
    <cfRule type="cellIs" dxfId="2469" priority="2820" operator="equal">
      <formula>"Mayor"</formula>
    </cfRule>
    <cfRule type="cellIs" dxfId="2468" priority="2821" operator="equal">
      <formula>"Moderado"</formula>
    </cfRule>
    <cfRule type="cellIs" dxfId="2467" priority="2822" operator="equal">
      <formula>"Menor"</formula>
    </cfRule>
    <cfRule type="cellIs" dxfId="2466" priority="2823" operator="equal">
      <formula>"Leve"</formula>
    </cfRule>
  </conditionalFormatting>
  <conditionalFormatting sqref="AF25">
    <cfRule type="cellIs" dxfId="2465" priority="2815" operator="equal">
      <formula>"Extremo"</formula>
    </cfRule>
    <cfRule type="cellIs" dxfId="2464" priority="2816" operator="equal">
      <formula>"Alto"</formula>
    </cfRule>
    <cfRule type="cellIs" dxfId="2463" priority="2817" operator="equal">
      <formula>"Moderado"</formula>
    </cfRule>
    <cfRule type="cellIs" dxfId="2462" priority="2818" operator="equal">
      <formula>"Bajo"</formula>
    </cfRule>
  </conditionalFormatting>
  <conditionalFormatting sqref="AB26">
    <cfRule type="cellIs" dxfId="2461" priority="2810" operator="equal">
      <formula>"Muy Alta"</formula>
    </cfRule>
    <cfRule type="cellIs" dxfId="2460" priority="2811" operator="equal">
      <formula>"Alta"</formula>
    </cfRule>
    <cfRule type="cellIs" dxfId="2459" priority="2812" operator="equal">
      <formula>"Media"</formula>
    </cfRule>
    <cfRule type="cellIs" dxfId="2458" priority="2813" operator="equal">
      <formula>"Baja"</formula>
    </cfRule>
    <cfRule type="cellIs" dxfId="2457" priority="2814" operator="equal">
      <formula>"Muy Baja"</formula>
    </cfRule>
  </conditionalFormatting>
  <conditionalFormatting sqref="AD26">
    <cfRule type="cellIs" dxfId="2456" priority="2805" operator="equal">
      <formula>"Catastrófico"</formula>
    </cfRule>
    <cfRule type="cellIs" dxfId="2455" priority="2806" operator="equal">
      <formula>"Mayor"</formula>
    </cfRule>
    <cfRule type="cellIs" dxfId="2454" priority="2807" operator="equal">
      <formula>"Moderado"</formula>
    </cfRule>
    <cfRule type="cellIs" dxfId="2453" priority="2808" operator="equal">
      <formula>"Menor"</formula>
    </cfRule>
    <cfRule type="cellIs" dxfId="2452" priority="2809" operator="equal">
      <formula>"Leve"</formula>
    </cfRule>
  </conditionalFormatting>
  <conditionalFormatting sqref="AF26">
    <cfRule type="cellIs" dxfId="2451" priority="2801" operator="equal">
      <formula>"Extremo"</formula>
    </cfRule>
    <cfRule type="cellIs" dxfId="2450" priority="2802" operator="equal">
      <formula>"Alto"</formula>
    </cfRule>
    <cfRule type="cellIs" dxfId="2449" priority="2803" operator="equal">
      <formula>"Moderado"</formula>
    </cfRule>
    <cfRule type="cellIs" dxfId="2448" priority="2804" operator="equal">
      <formula>"Bajo"</formula>
    </cfRule>
  </conditionalFormatting>
  <conditionalFormatting sqref="AB27">
    <cfRule type="cellIs" dxfId="2447" priority="2796" operator="equal">
      <formula>"Muy Alta"</formula>
    </cfRule>
    <cfRule type="cellIs" dxfId="2446" priority="2797" operator="equal">
      <formula>"Alta"</formula>
    </cfRule>
    <cfRule type="cellIs" dxfId="2445" priority="2798" operator="equal">
      <formula>"Media"</formula>
    </cfRule>
    <cfRule type="cellIs" dxfId="2444" priority="2799" operator="equal">
      <formula>"Baja"</formula>
    </cfRule>
    <cfRule type="cellIs" dxfId="2443" priority="2800" operator="equal">
      <formula>"Muy Baja"</formula>
    </cfRule>
  </conditionalFormatting>
  <conditionalFormatting sqref="AD27">
    <cfRule type="cellIs" dxfId="2442" priority="2791" operator="equal">
      <formula>"Catastrófico"</formula>
    </cfRule>
    <cfRule type="cellIs" dxfId="2441" priority="2792" operator="equal">
      <formula>"Mayor"</formula>
    </cfRule>
    <cfRule type="cellIs" dxfId="2440" priority="2793" operator="equal">
      <formula>"Moderado"</formula>
    </cfRule>
    <cfRule type="cellIs" dxfId="2439" priority="2794" operator="equal">
      <formula>"Menor"</formula>
    </cfRule>
    <cfRule type="cellIs" dxfId="2438" priority="2795" operator="equal">
      <formula>"Leve"</formula>
    </cfRule>
  </conditionalFormatting>
  <conditionalFormatting sqref="AF27">
    <cfRule type="cellIs" dxfId="2437" priority="2787" operator="equal">
      <formula>"Extremo"</formula>
    </cfRule>
    <cfRule type="cellIs" dxfId="2436" priority="2788" operator="equal">
      <formula>"Alto"</formula>
    </cfRule>
    <cfRule type="cellIs" dxfId="2435" priority="2789" operator="equal">
      <formula>"Moderado"</formula>
    </cfRule>
    <cfRule type="cellIs" dxfId="2434" priority="2790" operator="equal">
      <formula>"Bajo"</formula>
    </cfRule>
  </conditionalFormatting>
  <conditionalFormatting sqref="AB28">
    <cfRule type="cellIs" dxfId="2433" priority="2782" operator="equal">
      <formula>"Muy Alta"</formula>
    </cfRule>
    <cfRule type="cellIs" dxfId="2432" priority="2783" operator="equal">
      <formula>"Alta"</formula>
    </cfRule>
    <cfRule type="cellIs" dxfId="2431" priority="2784" operator="equal">
      <formula>"Media"</formula>
    </cfRule>
    <cfRule type="cellIs" dxfId="2430" priority="2785" operator="equal">
      <formula>"Baja"</formula>
    </cfRule>
    <cfRule type="cellIs" dxfId="2429" priority="2786" operator="equal">
      <formula>"Muy Baja"</formula>
    </cfRule>
  </conditionalFormatting>
  <conditionalFormatting sqref="AD28">
    <cfRule type="cellIs" dxfId="2428" priority="2777" operator="equal">
      <formula>"Catastrófico"</formula>
    </cfRule>
    <cfRule type="cellIs" dxfId="2427" priority="2778" operator="equal">
      <formula>"Mayor"</formula>
    </cfRule>
    <cfRule type="cellIs" dxfId="2426" priority="2779" operator="equal">
      <formula>"Moderado"</formula>
    </cfRule>
    <cfRule type="cellIs" dxfId="2425" priority="2780" operator="equal">
      <formula>"Menor"</formula>
    </cfRule>
    <cfRule type="cellIs" dxfId="2424" priority="2781" operator="equal">
      <formula>"Leve"</formula>
    </cfRule>
  </conditionalFormatting>
  <conditionalFormatting sqref="AF28">
    <cfRule type="cellIs" dxfId="2423" priority="2773" operator="equal">
      <formula>"Extremo"</formula>
    </cfRule>
    <cfRule type="cellIs" dxfId="2422" priority="2774" operator="equal">
      <formula>"Alto"</formula>
    </cfRule>
    <cfRule type="cellIs" dxfId="2421" priority="2775" operator="equal">
      <formula>"Moderado"</formula>
    </cfRule>
    <cfRule type="cellIs" dxfId="2420" priority="2776" operator="equal">
      <formula>"Bajo"</formula>
    </cfRule>
  </conditionalFormatting>
  <conditionalFormatting sqref="AB29">
    <cfRule type="cellIs" dxfId="2419" priority="2768" operator="equal">
      <formula>"Muy Alta"</formula>
    </cfRule>
    <cfRule type="cellIs" dxfId="2418" priority="2769" operator="equal">
      <formula>"Alta"</formula>
    </cfRule>
    <cfRule type="cellIs" dxfId="2417" priority="2770" operator="equal">
      <formula>"Media"</formula>
    </cfRule>
    <cfRule type="cellIs" dxfId="2416" priority="2771" operator="equal">
      <formula>"Baja"</formula>
    </cfRule>
    <cfRule type="cellIs" dxfId="2415" priority="2772" operator="equal">
      <formula>"Muy Baja"</formula>
    </cfRule>
  </conditionalFormatting>
  <conditionalFormatting sqref="AD29">
    <cfRule type="cellIs" dxfId="2414" priority="2763" operator="equal">
      <formula>"Catastrófico"</formula>
    </cfRule>
    <cfRule type="cellIs" dxfId="2413" priority="2764" operator="equal">
      <formula>"Mayor"</formula>
    </cfRule>
    <cfRule type="cellIs" dxfId="2412" priority="2765" operator="equal">
      <formula>"Moderado"</formula>
    </cfRule>
    <cfRule type="cellIs" dxfId="2411" priority="2766" operator="equal">
      <formula>"Menor"</formula>
    </cfRule>
    <cfRule type="cellIs" dxfId="2410" priority="2767" operator="equal">
      <formula>"Leve"</formula>
    </cfRule>
  </conditionalFormatting>
  <conditionalFormatting sqref="AF29">
    <cfRule type="cellIs" dxfId="2409" priority="2759" operator="equal">
      <formula>"Extremo"</formula>
    </cfRule>
    <cfRule type="cellIs" dxfId="2408" priority="2760" operator="equal">
      <formula>"Alto"</formula>
    </cfRule>
    <cfRule type="cellIs" dxfId="2407" priority="2761" operator="equal">
      <formula>"Moderado"</formula>
    </cfRule>
    <cfRule type="cellIs" dxfId="2406" priority="2762" operator="equal">
      <formula>"Bajo"</formula>
    </cfRule>
  </conditionalFormatting>
  <conditionalFormatting sqref="AB30">
    <cfRule type="cellIs" dxfId="2405" priority="2754" operator="equal">
      <formula>"Muy Alta"</formula>
    </cfRule>
    <cfRule type="cellIs" dxfId="2404" priority="2755" operator="equal">
      <formula>"Alta"</formula>
    </cfRule>
    <cfRule type="cellIs" dxfId="2403" priority="2756" operator="equal">
      <formula>"Media"</formula>
    </cfRule>
    <cfRule type="cellIs" dxfId="2402" priority="2757" operator="equal">
      <formula>"Baja"</formula>
    </cfRule>
    <cfRule type="cellIs" dxfId="2401" priority="2758" operator="equal">
      <formula>"Muy Baja"</formula>
    </cfRule>
  </conditionalFormatting>
  <conditionalFormatting sqref="AD30">
    <cfRule type="cellIs" dxfId="2400" priority="2749" operator="equal">
      <formula>"Catastrófico"</formula>
    </cfRule>
    <cfRule type="cellIs" dxfId="2399" priority="2750" operator="equal">
      <formula>"Mayor"</formula>
    </cfRule>
    <cfRule type="cellIs" dxfId="2398" priority="2751" operator="equal">
      <formula>"Moderado"</formula>
    </cfRule>
    <cfRule type="cellIs" dxfId="2397" priority="2752" operator="equal">
      <formula>"Menor"</formula>
    </cfRule>
    <cfRule type="cellIs" dxfId="2396" priority="2753" operator="equal">
      <formula>"Leve"</formula>
    </cfRule>
  </conditionalFormatting>
  <conditionalFormatting sqref="AF30">
    <cfRule type="cellIs" dxfId="2395" priority="2745" operator="equal">
      <formula>"Extremo"</formula>
    </cfRule>
    <cfRule type="cellIs" dxfId="2394" priority="2746" operator="equal">
      <formula>"Alto"</formula>
    </cfRule>
    <cfRule type="cellIs" dxfId="2393" priority="2747" operator="equal">
      <formula>"Moderado"</formula>
    </cfRule>
    <cfRule type="cellIs" dxfId="2392" priority="2748" operator="equal">
      <formula>"Bajo"</formula>
    </cfRule>
  </conditionalFormatting>
  <conditionalFormatting sqref="AB31">
    <cfRule type="cellIs" dxfId="2391" priority="2740" operator="equal">
      <formula>"Muy Alta"</formula>
    </cfRule>
    <cfRule type="cellIs" dxfId="2390" priority="2741" operator="equal">
      <formula>"Alta"</formula>
    </cfRule>
    <cfRule type="cellIs" dxfId="2389" priority="2742" operator="equal">
      <formula>"Media"</formula>
    </cfRule>
    <cfRule type="cellIs" dxfId="2388" priority="2743" operator="equal">
      <formula>"Baja"</formula>
    </cfRule>
    <cfRule type="cellIs" dxfId="2387" priority="2744" operator="equal">
      <formula>"Muy Baja"</formula>
    </cfRule>
  </conditionalFormatting>
  <conditionalFormatting sqref="AD31">
    <cfRule type="cellIs" dxfId="2386" priority="2735" operator="equal">
      <formula>"Catastrófico"</formula>
    </cfRule>
    <cfRule type="cellIs" dxfId="2385" priority="2736" operator="equal">
      <formula>"Mayor"</formula>
    </cfRule>
    <cfRule type="cellIs" dxfId="2384" priority="2737" operator="equal">
      <formula>"Moderado"</formula>
    </cfRule>
    <cfRule type="cellIs" dxfId="2383" priority="2738" operator="equal">
      <formula>"Menor"</formula>
    </cfRule>
    <cfRule type="cellIs" dxfId="2382" priority="2739" operator="equal">
      <formula>"Leve"</formula>
    </cfRule>
  </conditionalFormatting>
  <conditionalFormatting sqref="AF31">
    <cfRule type="cellIs" dxfId="2381" priority="2731" operator="equal">
      <formula>"Extremo"</formula>
    </cfRule>
    <cfRule type="cellIs" dxfId="2380" priority="2732" operator="equal">
      <formula>"Alto"</formula>
    </cfRule>
    <cfRule type="cellIs" dxfId="2379" priority="2733" operator="equal">
      <formula>"Moderado"</formula>
    </cfRule>
    <cfRule type="cellIs" dxfId="2378" priority="2734" operator="equal">
      <formula>"Bajo"</formula>
    </cfRule>
  </conditionalFormatting>
  <conditionalFormatting sqref="AB32">
    <cfRule type="cellIs" dxfId="2377" priority="2726" operator="equal">
      <formula>"Muy Alta"</formula>
    </cfRule>
    <cfRule type="cellIs" dxfId="2376" priority="2727" operator="equal">
      <formula>"Alta"</formula>
    </cfRule>
    <cfRule type="cellIs" dxfId="2375" priority="2728" operator="equal">
      <formula>"Media"</formula>
    </cfRule>
    <cfRule type="cellIs" dxfId="2374" priority="2729" operator="equal">
      <formula>"Baja"</formula>
    </cfRule>
    <cfRule type="cellIs" dxfId="2373" priority="2730" operator="equal">
      <formula>"Muy Baja"</formula>
    </cfRule>
  </conditionalFormatting>
  <conditionalFormatting sqref="AD32">
    <cfRule type="cellIs" dxfId="2372" priority="2721" operator="equal">
      <formula>"Catastrófico"</formula>
    </cfRule>
    <cfRule type="cellIs" dxfId="2371" priority="2722" operator="equal">
      <formula>"Mayor"</formula>
    </cfRule>
    <cfRule type="cellIs" dxfId="2370" priority="2723" operator="equal">
      <formula>"Moderado"</formula>
    </cfRule>
    <cfRule type="cellIs" dxfId="2369" priority="2724" operator="equal">
      <formula>"Menor"</formula>
    </cfRule>
    <cfRule type="cellIs" dxfId="2368" priority="2725" operator="equal">
      <formula>"Leve"</formula>
    </cfRule>
  </conditionalFormatting>
  <conditionalFormatting sqref="AF32">
    <cfRule type="cellIs" dxfId="2367" priority="2717" operator="equal">
      <formula>"Extremo"</formula>
    </cfRule>
    <cfRule type="cellIs" dxfId="2366" priority="2718" operator="equal">
      <formula>"Alto"</formula>
    </cfRule>
    <cfRule type="cellIs" dxfId="2365" priority="2719" operator="equal">
      <formula>"Moderado"</formula>
    </cfRule>
    <cfRule type="cellIs" dxfId="2364" priority="2720" operator="equal">
      <formula>"Bajo"</formula>
    </cfRule>
  </conditionalFormatting>
  <conditionalFormatting sqref="AB33">
    <cfRule type="cellIs" dxfId="2363" priority="2712" operator="equal">
      <formula>"Muy Alta"</formula>
    </cfRule>
    <cfRule type="cellIs" dxfId="2362" priority="2713" operator="equal">
      <formula>"Alta"</formula>
    </cfRule>
    <cfRule type="cellIs" dxfId="2361" priority="2714" operator="equal">
      <formula>"Media"</formula>
    </cfRule>
    <cfRule type="cellIs" dxfId="2360" priority="2715" operator="equal">
      <formula>"Baja"</formula>
    </cfRule>
    <cfRule type="cellIs" dxfId="2359" priority="2716" operator="equal">
      <formula>"Muy Baja"</formula>
    </cfRule>
  </conditionalFormatting>
  <conditionalFormatting sqref="AD33">
    <cfRule type="cellIs" dxfId="2358" priority="2707" operator="equal">
      <formula>"Catastrófico"</formula>
    </cfRule>
    <cfRule type="cellIs" dxfId="2357" priority="2708" operator="equal">
      <formula>"Mayor"</formula>
    </cfRule>
    <cfRule type="cellIs" dxfId="2356" priority="2709" operator="equal">
      <formula>"Moderado"</formula>
    </cfRule>
    <cfRule type="cellIs" dxfId="2355" priority="2710" operator="equal">
      <formula>"Menor"</formula>
    </cfRule>
    <cfRule type="cellIs" dxfId="2354" priority="2711" operator="equal">
      <formula>"Leve"</formula>
    </cfRule>
  </conditionalFormatting>
  <conditionalFormatting sqref="AF33">
    <cfRule type="cellIs" dxfId="2353" priority="2703" operator="equal">
      <formula>"Extremo"</formula>
    </cfRule>
    <cfRule type="cellIs" dxfId="2352" priority="2704" operator="equal">
      <formula>"Alto"</formula>
    </cfRule>
    <cfRule type="cellIs" dxfId="2351" priority="2705" operator="equal">
      <formula>"Moderado"</formula>
    </cfRule>
    <cfRule type="cellIs" dxfId="2350" priority="2706" operator="equal">
      <formula>"Bajo"</formula>
    </cfRule>
  </conditionalFormatting>
  <conditionalFormatting sqref="AB34">
    <cfRule type="cellIs" dxfId="2349" priority="2698" operator="equal">
      <formula>"Muy Alta"</formula>
    </cfRule>
    <cfRule type="cellIs" dxfId="2348" priority="2699" operator="equal">
      <formula>"Alta"</formula>
    </cfRule>
    <cfRule type="cellIs" dxfId="2347" priority="2700" operator="equal">
      <formula>"Media"</formula>
    </cfRule>
    <cfRule type="cellIs" dxfId="2346" priority="2701" operator="equal">
      <formula>"Baja"</formula>
    </cfRule>
    <cfRule type="cellIs" dxfId="2345" priority="2702" operator="equal">
      <formula>"Muy Baja"</formula>
    </cfRule>
  </conditionalFormatting>
  <conditionalFormatting sqref="AD34">
    <cfRule type="cellIs" dxfId="2344" priority="2693" operator="equal">
      <formula>"Catastrófico"</formula>
    </cfRule>
    <cfRule type="cellIs" dxfId="2343" priority="2694" operator="equal">
      <formula>"Mayor"</formula>
    </cfRule>
    <cfRule type="cellIs" dxfId="2342" priority="2695" operator="equal">
      <formula>"Moderado"</formula>
    </cfRule>
    <cfRule type="cellIs" dxfId="2341" priority="2696" operator="equal">
      <formula>"Menor"</formula>
    </cfRule>
    <cfRule type="cellIs" dxfId="2340" priority="2697" operator="equal">
      <formula>"Leve"</formula>
    </cfRule>
  </conditionalFormatting>
  <conditionalFormatting sqref="AF34">
    <cfRule type="cellIs" dxfId="2339" priority="2689" operator="equal">
      <formula>"Extremo"</formula>
    </cfRule>
    <cfRule type="cellIs" dxfId="2338" priority="2690" operator="equal">
      <formula>"Alto"</formula>
    </cfRule>
    <cfRule type="cellIs" dxfId="2337" priority="2691" operator="equal">
      <formula>"Moderado"</formula>
    </cfRule>
    <cfRule type="cellIs" dxfId="2336" priority="2692" operator="equal">
      <formula>"Bajo"</formula>
    </cfRule>
  </conditionalFormatting>
  <conditionalFormatting sqref="AB35">
    <cfRule type="cellIs" dxfId="2335" priority="2684" operator="equal">
      <formula>"Muy Alta"</formula>
    </cfRule>
    <cfRule type="cellIs" dxfId="2334" priority="2685" operator="equal">
      <formula>"Alta"</formula>
    </cfRule>
    <cfRule type="cellIs" dxfId="2333" priority="2686" operator="equal">
      <formula>"Media"</formula>
    </cfRule>
    <cfRule type="cellIs" dxfId="2332" priority="2687" operator="equal">
      <formula>"Baja"</formula>
    </cfRule>
    <cfRule type="cellIs" dxfId="2331" priority="2688" operator="equal">
      <formula>"Muy Baja"</formula>
    </cfRule>
  </conditionalFormatting>
  <conditionalFormatting sqref="AD35">
    <cfRule type="cellIs" dxfId="2330" priority="2679" operator="equal">
      <formula>"Catastrófico"</formula>
    </cfRule>
    <cfRule type="cellIs" dxfId="2329" priority="2680" operator="equal">
      <formula>"Mayor"</formula>
    </cfRule>
    <cfRule type="cellIs" dxfId="2328" priority="2681" operator="equal">
      <formula>"Moderado"</formula>
    </cfRule>
    <cfRule type="cellIs" dxfId="2327" priority="2682" operator="equal">
      <formula>"Menor"</formula>
    </cfRule>
    <cfRule type="cellIs" dxfId="2326" priority="2683" operator="equal">
      <formula>"Leve"</formula>
    </cfRule>
  </conditionalFormatting>
  <conditionalFormatting sqref="AF35">
    <cfRule type="cellIs" dxfId="2325" priority="2675" operator="equal">
      <formula>"Extremo"</formula>
    </cfRule>
    <cfRule type="cellIs" dxfId="2324" priority="2676" operator="equal">
      <formula>"Alto"</formula>
    </cfRule>
    <cfRule type="cellIs" dxfId="2323" priority="2677" operator="equal">
      <formula>"Moderado"</formula>
    </cfRule>
    <cfRule type="cellIs" dxfId="2322" priority="2678" operator="equal">
      <formula>"Bajo"</formula>
    </cfRule>
  </conditionalFormatting>
  <conditionalFormatting sqref="AB36">
    <cfRule type="cellIs" dxfId="2321" priority="2670" operator="equal">
      <formula>"Muy Alta"</formula>
    </cfRule>
    <cfRule type="cellIs" dxfId="2320" priority="2671" operator="equal">
      <formula>"Alta"</formula>
    </cfRule>
    <cfRule type="cellIs" dxfId="2319" priority="2672" operator="equal">
      <formula>"Media"</formula>
    </cfRule>
    <cfRule type="cellIs" dxfId="2318" priority="2673" operator="equal">
      <formula>"Baja"</formula>
    </cfRule>
    <cfRule type="cellIs" dxfId="2317" priority="2674" operator="equal">
      <formula>"Muy Baja"</formula>
    </cfRule>
  </conditionalFormatting>
  <conditionalFormatting sqref="AD36">
    <cfRule type="cellIs" dxfId="2316" priority="2665" operator="equal">
      <formula>"Catastrófico"</formula>
    </cfRule>
    <cfRule type="cellIs" dxfId="2315" priority="2666" operator="equal">
      <formula>"Mayor"</formula>
    </cfRule>
    <cfRule type="cellIs" dxfId="2314" priority="2667" operator="equal">
      <formula>"Moderado"</formula>
    </cfRule>
    <cfRule type="cellIs" dxfId="2313" priority="2668" operator="equal">
      <formula>"Menor"</formula>
    </cfRule>
    <cfRule type="cellIs" dxfId="2312" priority="2669" operator="equal">
      <formula>"Leve"</formula>
    </cfRule>
  </conditionalFormatting>
  <conditionalFormatting sqref="AF36">
    <cfRule type="cellIs" dxfId="2311" priority="2661" operator="equal">
      <formula>"Extremo"</formula>
    </cfRule>
    <cfRule type="cellIs" dxfId="2310" priority="2662" operator="equal">
      <formula>"Alto"</formula>
    </cfRule>
    <cfRule type="cellIs" dxfId="2309" priority="2663" operator="equal">
      <formula>"Moderado"</formula>
    </cfRule>
    <cfRule type="cellIs" dxfId="2308" priority="2664" operator="equal">
      <formula>"Bajo"</formula>
    </cfRule>
  </conditionalFormatting>
  <conditionalFormatting sqref="AB37">
    <cfRule type="cellIs" dxfId="2307" priority="2656" operator="equal">
      <formula>"Muy Alta"</formula>
    </cfRule>
    <cfRule type="cellIs" dxfId="2306" priority="2657" operator="equal">
      <formula>"Alta"</formula>
    </cfRule>
    <cfRule type="cellIs" dxfId="2305" priority="2658" operator="equal">
      <formula>"Media"</formula>
    </cfRule>
    <cfRule type="cellIs" dxfId="2304" priority="2659" operator="equal">
      <formula>"Baja"</formula>
    </cfRule>
    <cfRule type="cellIs" dxfId="2303" priority="2660" operator="equal">
      <formula>"Muy Baja"</formula>
    </cfRule>
  </conditionalFormatting>
  <conditionalFormatting sqref="AD37">
    <cfRule type="cellIs" dxfId="2302" priority="2651" operator="equal">
      <formula>"Catastrófico"</formula>
    </cfRule>
    <cfRule type="cellIs" dxfId="2301" priority="2652" operator="equal">
      <formula>"Mayor"</formula>
    </cfRule>
    <cfRule type="cellIs" dxfId="2300" priority="2653" operator="equal">
      <formula>"Moderado"</formula>
    </cfRule>
    <cfRule type="cellIs" dxfId="2299" priority="2654" operator="equal">
      <formula>"Menor"</formula>
    </cfRule>
    <cfRule type="cellIs" dxfId="2298" priority="2655" operator="equal">
      <formula>"Leve"</formula>
    </cfRule>
  </conditionalFormatting>
  <conditionalFormatting sqref="AF37">
    <cfRule type="cellIs" dxfId="2297" priority="2647" operator="equal">
      <formula>"Extremo"</formula>
    </cfRule>
    <cfRule type="cellIs" dxfId="2296" priority="2648" operator="equal">
      <formula>"Alto"</formula>
    </cfRule>
    <cfRule type="cellIs" dxfId="2295" priority="2649" operator="equal">
      <formula>"Moderado"</formula>
    </cfRule>
    <cfRule type="cellIs" dxfId="2294" priority="2650" operator="equal">
      <formula>"Bajo"</formula>
    </cfRule>
  </conditionalFormatting>
  <conditionalFormatting sqref="AB38">
    <cfRule type="cellIs" dxfId="2293" priority="2642" operator="equal">
      <formula>"Muy Alta"</formula>
    </cfRule>
    <cfRule type="cellIs" dxfId="2292" priority="2643" operator="equal">
      <formula>"Alta"</formula>
    </cfRule>
    <cfRule type="cellIs" dxfId="2291" priority="2644" operator="equal">
      <formula>"Media"</formula>
    </cfRule>
    <cfRule type="cellIs" dxfId="2290" priority="2645" operator="equal">
      <formula>"Baja"</formula>
    </cfRule>
    <cfRule type="cellIs" dxfId="2289" priority="2646" operator="equal">
      <formula>"Muy Baja"</formula>
    </cfRule>
  </conditionalFormatting>
  <conditionalFormatting sqref="AD38">
    <cfRule type="cellIs" dxfId="2288" priority="2637" operator="equal">
      <formula>"Catastrófico"</formula>
    </cfRule>
    <cfRule type="cellIs" dxfId="2287" priority="2638" operator="equal">
      <formula>"Mayor"</formula>
    </cfRule>
    <cfRule type="cellIs" dxfId="2286" priority="2639" operator="equal">
      <formula>"Moderado"</formula>
    </cfRule>
    <cfRule type="cellIs" dxfId="2285" priority="2640" operator="equal">
      <formula>"Menor"</formula>
    </cfRule>
    <cfRule type="cellIs" dxfId="2284" priority="2641" operator="equal">
      <formula>"Leve"</formula>
    </cfRule>
  </conditionalFormatting>
  <conditionalFormatting sqref="AF38">
    <cfRule type="cellIs" dxfId="2283" priority="2633" operator="equal">
      <formula>"Extremo"</formula>
    </cfRule>
    <cfRule type="cellIs" dxfId="2282" priority="2634" operator="equal">
      <formula>"Alto"</formula>
    </cfRule>
    <cfRule type="cellIs" dxfId="2281" priority="2635" operator="equal">
      <formula>"Moderado"</formula>
    </cfRule>
    <cfRule type="cellIs" dxfId="2280" priority="2636" operator="equal">
      <formula>"Bajo"</formula>
    </cfRule>
  </conditionalFormatting>
  <conditionalFormatting sqref="AB39">
    <cfRule type="cellIs" dxfId="2279" priority="2628" operator="equal">
      <formula>"Muy Alta"</formula>
    </cfRule>
    <cfRule type="cellIs" dxfId="2278" priority="2629" operator="equal">
      <formula>"Alta"</formula>
    </cfRule>
    <cfRule type="cellIs" dxfId="2277" priority="2630" operator="equal">
      <formula>"Media"</formula>
    </cfRule>
    <cfRule type="cellIs" dxfId="2276" priority="2631" operator="equal">
      <formula>"Baja"</formula>
    </cfRule>
    <cfRule type="cellIs" dxfId="2275" priority="2632" operator="equal">
      <formula>"Muy Baja"</formula>
    </cfRule>
  </conditionalFormatting>
  <conditionalFormatting sqref="AD39">
    <cfRule type="cellIs" dxfId="2274" priority="2623" operator="equal">
      <formula>"Catastrófico"</formula>
    </cfRule>
    <cfRule type="cellIs" dxfId="2273" priority="2624" operator="equal">
      <formula>"Mayor"</formula>
    </cfRule>
    <cfRule type="cellIs" dxfId="2272" priority="2625" operator="equal">
      <formula>"Moderado"</formula>
    </cfRule>
    <cfRule type="cellIs" dxfId="2271" priority="2626" operator="equal">
      <formula>"Menor"</formula>
    </cfRule>
    <cfRule type="cellIs" dxfId="2270" priority="2627" operator="equal">
      <formula>"Leve"</formula>
    </cfRule>
  </conditionalFormatting>
  <conditionalFormatting sqref="AF39">
    <cfRule type="cellIs" dxfId="2269" priority="2619" operator="equal">
      <formula>"Extremo"</formula>
    </cfRule>
    <cfRule type="cellIs" dxfId="2268" priority="2620" operator="equal">
      <formula>"Alto"</formula>
    </cfRule>
    <cfRule type="cellIs" dxfId="2267" priority="2621" operator="equal">
      <formula>"Moderado"</formula>
    </cfRule>
    <cfRule type="cellIs" dxfId="2266" priority="2622" operator="equal">
      <formula>"Bajo"</formula>
    </cfRule>
  </conditionalFormatting>
  <conditionalFormatting sqref="AB40">
    <cfRule type="cellIs" dxfId="2265" priority="2572" operator="equal">
      <formula>"Muy Alta"</formula>
    </cfRule>
    <cfRule type="cellIs" dxfId="2264" priority="2573" operator="equal">
      <formula>"Alta"</formula>
    </cfRule>
    <cfRule type="cellIs" dxfId="2263" priority="2574" operator="equal">
      <formula>"Media"</formula>
    </cfRule>
    <cfRule type="cellIs" dxfId="2262" priority="2575" operator="equal">
      <formula>"Baja"</formula>
    </cfRule>
    <cfRule type="cellIs" dxfId="2261" priority="2576" operator="equal">
      <formula>"Muy Baja"</formula>
    </cfRule>
  </conditionalFormatting>
  <conditionalFormatting sqref="AD40">
    <cfRule type="cellIs" dxfId="2260" priority="2567" operator="equal">
      <formula>"Catastrófico"</formula>
    </cfRule>
    <cfRule type="cellIs" dxfId="2259" priority="2568" operator="equal">
      <formula>"Mayor"</formula>
    </cfRule>
    <cfRule type="cellIs" dxfId="2258" priority="2569" operator="equal">
      <formula>"Moderado"</formula>
    </cfRule>
    <cfRule type="cellIs" dxfId="2257" priority="2570" operator="equal">
      <formula>"Menor"</formula>
    </cfRule>
    <cfRule type="cellIs" dxfId="2256" priority="2571" operator="equal">
      <formula>"Leve"</formula>
    </cfRule>
  </conditionalFormatting>
  <conditionalFormatting sqref="AF40">
    <cfRule type="cellIs" dxfId="2255" priority="2563" operator="equal">
      <formula>"Extremo"</formula>
    </cfRule>
    <cfRule type="cellIs" dxfId="2254" priority="2564" operator="equal">
      <formula>"Alto"</formula>
    </cfRule>
    <cfRule type="cellIs" dxfId="2253" priority="2565" operator="equal">
      <formula>"Moderado"</formula>
    </cfRule>
    <cfRule type="cellIs" dxfId="2252" priority="2566" operator="equal">
      <formula>"Bajo"</formula>
    </cfRule>
  </conditionalFormatting>
  <conditionalFormatting sqref="AB43">
    <cfRule type="cellIs" dxfId="2251" priority="2558" operator="equal">
      <formula>"Muy Alta"</formula>
    </cfRule>
    <cfRule type="cellIs" dxfId="2250" priority="2559" operator="equal">
      <formula>"Alta"</formula>
    </cfRule>
    <cfRule type="cellIs" dxfId="2249" priority="2560" operator="equal">
      <formula>"Media"</formula>
    </cfRule>
    <cfRule type="cellIs" dxfId="2248" priority="2561" operator="equal">
      <formula>"Baja"</formula>
    </cfRule>
    <cfRule type="cellIs" dxfId="2247" priority="2562" operator="equal">
      <formula>"Muy Baja"</formula>
    </cfRule>
  </conditionalFormatting>
  <conditionalFormatting sqref="AD43">
    <cfRule type="cellIs" dxfId="2246" priority="2553" operator="equal">
      <formula>"Catastrófico"</formula>
    </cfRule>
    <cfRule type="cellIs" dxfId="2245" priority="2554" operator="equal">
      <formula>"Mayor"</formula>
    </cfRule>
    <cfRule type="cellIs" dxfId="2244" priority="2555" operator="equal">
      <formula>"Moderado"</formula>
    </cfRule>
    <cfRule type="cellIs" dxfId="2243" priority="2556" operator="equal">
      <formula>"Menor"</formula>
    </cfRule>
    <cfRule type="cellIs" dxfId="2242" priority="2557" operator="equal">
      <formula>"Leve"</formula>
    </cfRule>
  </conditionalFormatting>
  <conditionalFormatting sqref="AF43">
    <cfRule type="cellIs" dxfId="2241" priority="2549" operator="equal">
      <formula>"Extremo"</formula>
    </cfRule>
    <cfRule type="cellIs" dxfId="2240" priority="2550" operator="equal">
      <formula>"Alto"</formula>
    </cfRule>
    <cfRule type="cellIs" dxfId="2239" priority="2551" operator="equal">
      <formula>"Moderado"</formula>
    </cfRule>
    <cfRule type="cellIs" dxfId="2238" priority="2552" operator="equal">
      <formula>"Bajo"</formula>
    </cfRule>
  </conditionalFormatting>
  <conditionalFormatting sqref="AB41">
    <cfRule type="cellIs" dxfId="2237" priority="2544" operator="equal">
      <formula>"Muy Alta"</formula>
    </cfRule>
    <cfRule type="cellIs" dxfId="2236" priority="2545" operator="equal">
      <formula>"Alta"</formula>
    </cfRule>
    <cfRule type="cellIs" dxfId="2235" priority="2546" operator="equal">
      <formula>"Media"</formula>
    </cfRule>
    <cfRule type="cellIs" dxfId="2234" priority="2547" operator="equal">
      <formula>"Baja"</formula>
    </cfRule>
    <cfRule type="cellIs" dxfId="2233" priority="2548" operator="equal">
      <formula>"Muy Baja"</formula>
    </cfRule>
  </conditionalFormatting>
  <conditionalFormatting sqref="AD41">
    <cfRule type="cellIs" dxfId="2232" priority="2539" operator="equal">
      <formula>"Catastrófico"</formula>
    </cfRule>
    <cfRule type="cellIs" dxfId="2231" priority="2540" operator="equal">
      <formula>"Mayor"</formula>
    </cfRule>
    <cfRule type="cellIs" dxfId="2230" priority="2541" operator="equal">
      <formula>"Moderado"</formula>
    </cfRule>
    <cfRule type="cellIs" dxfId="2229" priority="2542" operator="equal">
      <formula>"Menor"</formula>
    </cfRule>
    <cfRule type="cellIs" dxfId="2228" priority="2543" operator="equal">
      <formula>"Leve"</formula>
    </cfRule>
  </conditionalFormatting>
  <conditionalFormatting sqref="AF41">
    <cfRule type="cellIs" dxfId="2227" priority="2535" operator="equal">
      <formula>"Extremo"</formula>
    </cfRule>
    <cfRule type="cellIs" dxfId="2226" priority="2536" operator="equal">
      <formula>"Alto"</formula>
    </cfRule>
    <cfRule type="cellIs" dxfId="2225" priority="2537" operator="equal">
      <formula>"Moderado"</formula>
    </cfRule>
    <cfRule type="cellIs" dxfId="2224" priority="2538" operator="equal">
      <formula>"Bajo"</formula>
    </cfRule>
  </conditionalFormatting>
  <conditionalFormatting sqref="AB42">
    <cfRule type="cellIs" dxfId="2223" priority="2530" operator="equal">
      <formula>"Muy Alta"</formula>
    </cfRule>
    <cfRule type="cellIs" dxfId="2222" priority="2531" operator="equal">
      <formula>"Alta"</formula>
    </cfRule>
    <cfRule type="cellIs" dxfId="2221" priority="2532" operator="equal">
      <formula>"Media"</formula>
    </cfRule>
    <cfRule type="cellIs" dxfId="2220" priority="2533" operator="equal">
      <formula>"Baja"</formula>
    </cfRule>
    <cfRule type="cellIs" dxfId="2219" priority="2534" operator="equal">
      <formula>"Muy Baja"</formula>
    </cfRule>
  </conditionalFormatting>
  <conditionalFormatting sqref="AD42">
    <cfRule type="cellIs" dxfId="2218" priority="2525" operator="equal">
      <formula>"Catastrófico"</formula>
    </cfRule>
    <cfRule type="cellIs" dxfId="2217" priority="2526" operator="equal">
      <formula>"Mayor"</formula>
    </cfRule>
    <cfRule type="cellIs" dxfId="2216" priority="2527" operator="equal">
      <formula>"Moderado"</formula>
    </cfRule>
    <cfRule type="cellIs" dxfId="2215" priority="2528" operator="equal">
      <formula>"Menor"</formula>
    </cfRule>
    <cfRule type="cellIs" dxfId="2214" priority="2529" operator="equal">
      <formula>"Leve"</formula>
    </cfRule>
  </conditionalFormatting>
  <conditionalFormatting sqref="AF42">
    <cfRule type="cellIs" dxfId="2213" priority="2521" operator="equal">
      <formula>"Extremo"</formula>
    </cfRule>
    <cfRule type="cellIs" dxfId="2212" priority="2522" operator="equal">
      <formula>"Alto"</formula>
    </cfRule>
    <cfRule type="cellIs" dxfId="2211" priority="2523" operator="equal">
      <formula>"Moderado"</formula>
    </cfRule>
    <cfRule type="cellIs" dxfId="2210" priority="2524" operator="equal">
      <formula>"Bajo"</formula>
    </cfRule>
  </conditionalFormatting>
  <conditionalFormatting sqref="AB44">
    <cfRule type="cellIs" dxfId="2209" priority="2516" operator="equal">
      <formula>"Muy Alta"</formula>
    </cfRule>
    <cfRule type="cellIs" dxfId="2208" priority="2517" operator="equal">
      <formula>"Alta"</formula>
    </cfRule>
    <cfRule type="cellIs" dxfId="2207" priority="2518" operator="equal">
      <formula>"Media"</formula>
    </cfRule>
    <cfRule type="cellIs" dxfId="2206" priority="2519" operator="equal">
      <formula>"Baja"</formula>
    </cfRule>
    <cfRule type="cellIs" dxfId="2205" priority="2520" operator="equal">
      <formula>"Muy Baja"</formula>
    </cfRule>
  </conditionalFormatting>
  <conditionalFormatting sqref="AD44">
    <cfRule type="cellIs" dxfId="2204" priority="2511" operator="equal">
      <formula>"Catastrófico"</formula>
    </cfRule>
    <cfRule type="cellIs" dxfId="2203" priority="2512" operator="equal">
      <formula>"Mayor"</formula>
    </cfRule>
    <cfRule type="cellIs" dxfId="2202" priority="2513" operator="equal">
      <formula>"Moderado"</formula>
    </cfRule>
    <cfRule type="cellIs" dxfId="2201" priority="2514" operator="equal">
      <formula>"Menor"</formula>
    </cfRule>
    <cfRule type="cellIs" dxfId="2200" priority="2515" operator="equal">
      <formula>"Leve"</formula>
    </cfRule>
  </conditionalFormatting>
  <conditionalFormatting sqref="AF44">
    <cfRule type="cellIs" dxfId="2199" priority="2507" operator="equal">
      <formula>"Extremo"</formula>
    </cfRule>
    <cfRule type="cellIs" dxfId="2198" priority="2508" operator="equal">
      <formula>"Alto"</formula>
    </cfRule>
    <cfRule type="cellIs" dxfId="2197" priority="2509" operator="equal">
      <formula>"Moderado"</formula>
    </cfRule>
    <cfRule type="cellIs" dxfId="2196" priority="2510" operator="equal">
      <formula>"Bajo"</formula>
    </cfRule>
  </conditionalFormatting>
  <conditionalFormatting sqref="AB45">
    <cfRule type="cellIs" dxfId="2195" priority="2502" operator="equal">
      <formula>"Muy Alta"</formula>
    </cfRule>
    <cfRule type="cellIs" dxfId="2194" priority="2503" operator="equal">
      <formula>"Alta"</formula>
    </cfRule>
    <cfRule type="cellIs" dxfId="2193" priority="2504" operator="equal">
      <formula>"Media"</formula>
    </cfRule>
    <cfRule type="cellIs" dxfId="2192" priority="2505" operator="equal">
      <formula>"Baja"</formula>
    </cfRule>
    <cfRule type="cellIs" dxfId="2191" priority="2506" operator="equal">
      <formula>"Muy Baja"</formula>
    </cfRule>
  </conditionalFormatting>
  <conditionalFormatting sqref="AD45">
    <cfRule type="cellIs" dxfId="2190" priority="2497" operator="equal">
      <formula>"Catastrófico"</formula>
    </cfRule>
    <cfRule type="cellIs" dxfId="2189" priority="2498" operator="equal">
      <formula>"Mayor"</formula>
    </cfRule>
    <cfRule type="cellIs" dxfId="2188" priority="2499" operator="equal">
      <formula>"Moderado"</formula>
    </cfRule>
    <cfRule type="cellIs" dxfId="2187" priority="2500" operator="equal">
      <formula>"Menor"</formula>
    </cfRule>
    <cfRule type="cellIs" dxfId="2186" priority="2501" operator="equal">
      <formula>"Leve"</formula>
    </cfRule>
  </conditionalFormatting>
  <conditionalFormatting sqref="AF45">
    <cfRule type="cellIs" dxfId="2185" priority="2493" operator="equal">
      <formula>"Extremo"</formula>
    </cfRule>
    <cfRule type="cellIs" dxfId="2184" priority="2494" operator="equal">
      <formula>"Alto"</formula>
    </cfRule>
    <cfRule type="cellIs" dxfId="2183" priority="2495" operator="equal">
      <formula>"Moderado"</formula>
    </cfRule>
    <cfRule type="cellIs" dxfId="2182" priority="2496" operator="equal">
      <formula>"Bajo"</formula>
    </cfRule>
  </conditionalFormatting>
  <conditionalFormatting sqref="AB47">
    <cfRule type="cellIs" dxfId="2181" priority="2488" operator="equal">
      <formula>"Muy Alta"</formula>
    </cfRule>
    <cfRule type="cellIs" dxfId="2180" priority="2489" operator="equal">
      <formula>"Alta"</formula>
    </cfRule>
    <cfRule type="cellIs" dxfId="2179" priority="2490" operator="equal">
      <formula>"Media"</formula>
    </cfRule>
    <cfRule type="cellIs" dxfId="2178" priority="2491" operator="equal">
      <formula>"Baja"</formula>
    </cfRule>
    <cfRule type="cellIs" dxfId="2177" priority="2492" operator="equal">
      <formula>"Muy Baja"</formula>
    </cfRule>
  </conditionalFormatting>
  <conditionalFormatting sqref="AD47">
    <cfRule type="cellIs" dxfId="2176" priority="2483" operator="equal">
      <formula>"Catastrófico"</formula>
    </cfRule>
    <cfRule type="cellIs" dxfId="2175" priority="2484" operator="equal">
      <formula>"Mayor"</formula>
    </cfRule>
    <cfRule type="cellIs" dxfId="2174" priority="2485" operator="equal">
      <formula>"Moderado"</formula>
    </cfRule>
    <cfRule type="cellIs" dxfId="2173" priority="2486" operator="equal">
      <formula>"Menor"</formula>
    </cfRule>
    <cfRule type="cellIs" dxfId="2172" priority="2487" operator="equal">
      <formula>"Leve"</formula>
    </cfRule>
  </conditionalFormatting>
  <conditionalFormatting sqref="AB49">
    <cfRule type="cellIs" dxfId="2171" priority="2474" operator="equal">
      <formula>"Muy Alta"</formula>
    </cfRule>
    <cfRule type="cellIs" dxfId="2170" priority="2475" operator="equal">
      <formula>"Alta"</formula>
    </cfRule>
    <cfRule type="cellIs" dxfId="2169" priority="2476" operator="equal">
      <formula>"Media"</formula>
    </cfRule>
    <cfRule type="cellIs" dxfId="2168" priority="2477" operator="equal">
      <formula>"Baja"</formula>
    </cfRule>
    <cfRule type="cellIs" dxfId="2167" priority="2478" operator="equal">
      <formula>"Muy Baja"</formula>
    </cfRule>
  </conditionalFormatting>
  <conditionalFormatting sqref="AB48">
    <cfRule type="cellIs" dxfId="2166" priority="2460" operator="equal">
      <formula>"Muy Alta"</formula>
    </cfRule>
    <cfRule type="cellIs" dxfId="2165" priority="2461" operator="equal">
      <formula>"Alta"</formula>
    </cfRule>
    <cfRule type="cellIs" dxfId="2164" priority="2462" operator="equal">
      <formula>"Media"</formula>
    </cfRule>
    <cfRule type="cellIs" dxfId="2163" priority="2463" operator="equal">
      <formula>"Baja"</formula>
    </cfRule>
    <cfRule type="cellIs" dxfId="2162" priority="2464" operator="equal">
      <formula>"Muy Baja"</formula>
    </cfRule>
  </conditionalFormatting>
  <conditionalFormatting sqref="AD48">
    <cfRule type="cellIs" dxfId="2161" priority="2455" operator="equal">
      <formula>"Catastrófico"</formula>
    </cfRule>
    <cfRule type="cellIs" dxfId="2160" priority="2456" operator="equal">
      <formula>"Mayor"</formula>
    </cfRule>
    <cfRule type="cellIs" dxfId="2159" priority="2457" operator="equal">
      <formula>"Moderado"</formula>
    </cfRule>
    <cfRule type="cellIs" dxfId="2158" priority="2458" operator="equal">
      <formula>"Menor"</formula>
    </cfRule>
    <cfRule type="cellIs" dxfId="2157" priority="2459" operator="equal">
      <formula>"Leve"</formula>
    </cfRule>
  </conditionalFormatting>
  <conditionalFormatting sqref="AF48">
    <cfRule type="cellIs" dxfId="2156" priority="2451" operator="equal">
      <formula>"Extremo"</formula>
    </cfRule>
    <cfRule type="cellIs" dxfId="2155" priority="2452" operator="equal">
      <formula>"Alto"</formula>
    </cfRule>
    <cfRule type="cellIs" dxfId="2154" priority="2453" operator="equal">
      <formula>"Moderado"</formula>
    </cfRule>
    <cfRule type="cellIs" dxfId="2153" priority="2454" operator="equal">
      <formula>"Bajo"</formula>
    </cfRule>
  </conditionalFormatting>
  <conditionalFormatting sqref="AB50">
    <cfRule type="cellIs" dxfId="2152" priority="2446" operator="equal">
      <formula>"Muy Alta"</formula>
    </cfRule>
    <cfRule type="cellIs" dxfId="2151" priority="2447" operator="equal">
      <formula>"Alta"</formula>
    </cfRule>
    <cfRule type="cellIs" dxfId="2150" priority="2448" operator="equal">
      <formula>"Media"</formula>
    </cfRule>
    <cfRule type="cellIs" dxfId="2149" priority="2449" operator="equal">
      <formula>"Baja"</formula>
    </cfRule>
    <cfRule type="cellIs" dxfId="2148" priority="2450" operator="equal">
      <formula>"Muy Baja"</formula>
    </cfRule>
  </conditionalFormatting>
  <conditionalFormatting sqref="AD50">
    <cfRule type="cellIs" dxfId="2147" priority="2441" operator="equal">
      <formula>"Catastrófico"</formula>
    </cfRule>
    <cfRule type="cellIs" dxfId="2146" priority="2442" operator="equal">
      <formula>"Mayor"</formula>
    </cfRule>
    <cfRule type="cellIs" dxfId="2145" priority="2443" operator="equal">
      <formula>"Moderado"</formula>
    </cfRule>
    <cfRule type="cellIs" dxfId="2144" priority="2444" operator="equal">
      <formula>"Menor"</formula>
    </cfRule>
    <cfRule type="cellIs" dxfId="2143" priority="2445" operator="equal">
      <formula>"Leve"</formula>
    </cfRule>
  </conditionalFormatting>
  <conditionalFormatting sqref="AF50">
    <cfRule type="cellIs" dxfId="2142" priority="2437" operator="equal">
      <formula>"Extremo"</formula>
    </cfRule>
    <cfRule type="cellIs" dxfId="2141" priority="2438" operator="equal">
      <formula>"Alto"</formula>
    </cfRule>
    <cfRule type="cellIs" dxfId="2140" priority="2439" operator="equal">
      <formula>"Moderado"</formula>
    </cfRule>
    <cfRule type="cellIs" dxfId="2139" priority="2440" operator="equal">
      <formula>"Bajo"</formula>
    </cfRule>
  </conditionalFormatting>
  <conditionalFormatting sqref="AB51">
    <cfRule type="cellIs" dxfId="2138" priority="2432" operator="equal">
      <formula>"Muy Alta"</formula>
    </cfRule>
    <cfRule type="cellIs" dxfId="2137" priority="2433" operator="equal">
      <formula>"Alta"</formula>
    </cfRule>
    <cfRule type="cellIs" dxfId="2136" priority="2434" operator="equal">
      <formula>"Media"</formula>
    </cfRule>
    <cfRule type="cellIs" dxfId="2135" priority="2435" operator="equal">
      <formula>"Baja"</formula>
    </cfRule>
    <cfRule type="cellIs" dxfId="2134" priority="2436" operator="equal">
      <formula>"Muy Baja"</formula>
    </cfRule>
  </conditionalFormatting>
  <conditionalFormatting sqref="AD51">
    <cfRule type="cellIs" dxfId="2133" priority="2427" operator="equal">
      <formula>"Catastrófico"</formula>
    </cfRule>
    <cfRule type="cellIs" dxfId="2132" priority="2428" operator="equal">
      <formula>"Mayor"</formula>
    </cfRule>
    <cfRule type="cellIs" dxfId="2131" priority="2429" operator="equal">
      <formula>"Moderado"</formula>
    </cfRule>
    <cfRule type="cellIs" dxfId="2130" priority="2430" operator="equal">
      <formula>"Menor"</formula>
    </cfRule>
    <cfRule type="cellIs" dxfId="2129" priority="2431" operator="equal">
      <formula>"Leve"</formula>
    </cfRule>
  </conditionalFormatting>
  <conditionalFormatting sqref="AF51">
    <cfRule type="cellIs" dxfId="2128" priority="2423" operator="equal">
      <formula>"Extremo"</formula>
    </cfRule>
    <cfRule type="cellIs" dxfId="2127" priority="2424" operator="equal">
      <formula>"Alto"</formula>
    </cfRule>
    <cfRule type="cellIs" dxfId="2126" priority="2425" operator="equal">
      <formula>"Moderado"</formula>
    </cfRule>
    <cfRule type="cellIs" dxfId="2125" priority="2426" operator="equal">
      <formula>"Bajo"</formula>
    </cfRule>
  </conditionalFormatting>
  <conditionalFormatting sqref="AB53">
    <cfRule type="cellIs" dxfId="2124" priority="2418" operator="equal">
      <formula>"Muy Alta"</formula>
    </cfRule>
    <cfRule type="cellIs" dxfId="2123" priority="2419" operator="equal">
      <formula>"Alta"</formula>
    </cfRule>
    <cfRule type="cellIs" dxfId="2122" priority="2420" operator="equal">
      <formula>"Media"</formula>
    </cfRule>
    <cfRule type="cellIs" dxfId="2121" priority="2421" operator="equal">
      <formula>"Baja"</formula>
    </cfRule>
    <cfRule type="cellIs" dxfId="2120" priority="2422" operator="equal">
      <formula>"Muy Baja"</formula>
    </cfRule>
  </conditionalFormatting>
  <conditionalFormatting sqref="AD53">
    <cfRule type="cellIs" dxfId="2119" priority="2413" operator="equal">
      <formula>"Catastrófico"</formula>
    </cfRule>
    <cfRule type="cellIs" dxfId="2118" priority="2414" operator="equal">
      <formula>"Mayor"</formula>
    </cfRule>
    <cfRule type="cellIs" dxfId="2117" priority="2415" operator="equal">
      <formula>"Moderado"</formula>
    </cfRule>
    <cfRule type="cellIs" dxfId="2116" priority="2416" operator="equal">
      <formula>"Menor"</formula>
    </cfRule>
    <cfRule type="cellIs" dxfId="2115" priority="2417" operator="equal">
      <formula>"Leve"</formula>
    </cfRule>
  </conditionalFormatting>
  <conditionalFormatting sqref="AF53">
    <cfRule type="cellIs" dxfId="2114" priority="2409" operator="equal">
      <formula>"Extremo"</formula>
    </cfRule>
    <cfRule type="cellIs" dxfId="2113" priority="2410" operator="equal">
      <formula>"Alto"</formula>
    </cfRule>
    <cfRule type="cellIs" dxfId="2112" priority="2411" operator="equal">
      <formula>"Moderado"</formula>
    </cfRule>
    <cfRule type="cellIs" dxfId="2111" priority="2412" operator="equal">
      <formula>"Bajo"</formula>
    </cfRule>
  </conditionalFormatting>
  <conditionalFormatting sqref="AB54">
    <cfRule type="cellIs" dxfId="2110" priority="2404" operator="equal">
      <formula>"Muy Alta"</formula>
    </cfRule>
    <cfRule type="cellIs" dxfId="2109" priority="2405" operator="equal">
      <formula>"Alta"</formula>
    </cfRule>
    <cfRule type="cellIs" dxfId="2108" priority="2406" operator="equal">
      <formula>"Media"</formula>
    </cfRule>
    <cfRule type="cellIs" dxfId="2107" priority="2407" operator="equal">
      <formula>"Baja"</formula>
    </cfRule>
    <cfRule type="cellIs" dxfId="2106" priority="2408" operator="equal">
      <formula>"Muy Baja"</formula>
    </cfRule>
  </conditionalFormatting>
  <conditionalFormatting sqref="AD54">
    <cfRule type="cellIs" dxfId="2105" priority="2399" operator="equal">
      <formula>"Catastrófico"</formula>
    </cfRule>
    <cfRule type="cellIs" dxfId="2104" priority="2400" operator="equal">
      <formula>"Mayor"</formula>
    </cfRule>
    <cfRule type="cellIs" dxfId="2103" priority="2401" operator="equal">
      <formula>"Moderado"</formula>
    </cfRule>
    <cfRule type="cellIs" dxfId="2102" priority="2402" operator="equal">
      <formula>"Menor"</formula>
    </cfRule>
    <cfRule type="cellIs" dxfId="2101" priority="2403" operator="equal">
      <formula>"Leve"</formula>
    </cfRule>
  </conditionalFormatting>
  <conditionalFormatting sqref="AF54">
    <cfRule type="cellIs" dxfId="2100" priority="2395" operator="equal">
      <formula>"Extremo"</formula>
    </cfRule>
    <cfRule type="cellIs" dxfId="2099" priority="2396" operator="equal">
      <formula>"Alto"</formula>
    </cfRule>
    <cfRule type="cellIs" dxfId="2098" priority="2397" operator="equal">
      <formula>"Moderado"</formula>
    </cfRule>
    <cfRule type="cellIs" dxfId="2097" priority="2398" operator="equal">
      <formula>"Bajo"</formula>
    </cfRule>
  </conditionalFormatting>
  <conditionalFormatting sqref="AB56">
    <cfRule type="cellIs" dxfId="2096" priority="2390" operator="equal">
      <formula>"Muy Alta"</formula>
    </cfRule>
    <cfRule type="cellIs" dxfId="2095" priority="2391" operator="equal">
      <formula>"Alta"</formula>
    </cfRule>
    <cfRule type="cellIs" dxfId="2094" priority="2392" operator="equal">
      <formula>"Media"</formula>
    </cfRule>
    <cfRule type="cellIs" dxfId="2093" priority="2393" operator="equal">
      <formula>"Baja"</formula>
    </cfRule>
    <cfRule type="cellIs" dxfId="2092" priority="2394" operator="equal">
      <formula>"Muy Baja"</formula>
    </cfRule>
  </conditionalFormatting>
  <conditionalFormatting sqref="AD56">
    <cfRule type="cellIs" dxfId="2091" priority="2385" operator="equal">
      <formula>"Catastrófico"</formula>
    </cfRule>
    <cfRule type="cellIs" dxfId="2090" priority="2386" operator="equal">
      <formula>"Mayor"</formula>
    </cfRule>
    <cfRule type="cellIs" dxfId="2089" priority="2387" operator="equal">
      <formula>"Moderado"</formula>
    </cfRule>
    <cfRule type="cellIs" dxfId="2088" priority="2388" operator="equal">
      <formula>"Menor"</formula>
    </cfRule>
    <cfRule type="cellIs" dxfId="2087" priority="2389" operator="equal">
      <formula>"Leve"</formula>
    </cfRule>
  </conditionalFormatting>
  <conditionalFormatting sqref="AF56">
    <cfRule type="cellIs" dxfId="2086" priority="2381" operator="equal">
      <formula>"Extremo"</formula>
    </cfRule>
    <cfRule type="cellIs" dxfId="2085" priority="2382" operator="equal">
      <formula>"Alto"</formula>
    </cfRule>
    <cfRule type="cellIs" dxfId="2084" priority="2383" operator="equal">
      <formula>"Moderado"</formula>
    </cfRule>
    <cfRule type="cellIs" dxfId="2083" priority="2384" operator="equal">
      <formula>"Bajo"</formula>
    </cfRule>
  </conditionalFormatting>
  <conditionalFormatting sqref="AB57">
    <cfRule type="cellIs" dxfId="2082" priority="2376" operator="equal">
      <formula>"Muy Alta"</formula>
    </cfRule>
    <cfRule type="cellIs" dxfId="2081" priority="2377" operator="equal">
      <formula>"Alta"</formula>
    </cfRule>
    <cfRule type="cellIs" dxfId="2080" priority="2378" operator="equal">
      <formula>"Media"</formula>
    </cfRule>
    <cfRule type="cellIs" dxfId="2079" priority="2379" operator="equal">
      <formula>"Baja"</formula>
    </cfRule>
    <cfRule type="cellIs" dxfId="2078" priority="2380" operator="equal">
      <formula>"Muy Baja"</formula>
    </cfRule>
  </conditionalFormatting>
  <conditionalFormatting sqref="AD57">
    <cfRule type="cellIs" dxfId="2077" priority="2371" operator="equal">
      <formula>"Catastrófico"</formula>
    </cfRule>
    <cfRule type="cellIs" dxfId="2076" priority="2372" operator="equal">
      <formula>"Mayor"</formula>
    </cfRule>
    <cfRule type="cellIs" dxfId="2075" priority="2373" operator="equal">
      <formula>"Moderado"</formula>
    </cfRule>
    <cfRule type="cellIs" dxfId="2074" priority="2374" operator="equal">
      <formula>"Menor"</formula>
    </cfRule>
    <cfRule type="cellIs" dxfId="2073" priority="2375" operator="equal">
      <formula>"Leve"</formula>
    </cfRule>
  </conditionalFormatting>
  <conditionalFormatting sqref="AF57">
    <cfRule type="cellIs" dxfId="2072" priority="2367" operator="equal">
      <formula>"Extremo"</formula>
    </cfRule>
    <cfRule type="cellIs" dxfId="2071" priority="2368" operator="equal">
      <formula>"Alto"</formula>
    </cfRule>
    <cfRule type="cellIs" dxfId="2070" priority="2369" operator="equal">
      <formula>"Moderado"</formula>
    </cfRule>
    <cfRule type="cellIs" dxfId="2069" priority="2370" operator="equal">
      <formula>"Bajo"</formula>
    </cfRule>
  </conditionalFormatting>
  <conditionalFormatting sqref="AB59">
    <cfRule type="cellIs" dxfId="2068" priority="2362" operator="equal">
      <formula>"Muy Alta"</formula>
    </cfRule>
    <cfRule type="cellIs" dxfId="2067" priority="2363" operator="equal">
      <formula>"Alta"</formula>
    </cfRule>
    <cfRule type="cellIs" dxfId="2066" priority="2364" operator="equal">
      <formula>"Media"</formula>
    </cfRule>
    <cfRule type="cellIs" dxfId="2065" priority="2365" operator="equal">
      <formula>"Baja"</formula>
    </cfRule>
    <cfRule type="cellIs" dxfId="2064" priority="2366" operator="equal">
      <formula>"Muy Baja"</formula>
    </cfRule>
  </conditionalFormatting>
  <conditionalFormatting sqref="AD59">
    <cfRule type="cellIs" dxfId="2063" priority="2357" operator="equal">
      <formula>"Catastrófico"</formula>
    </cfRule>
    <cfRule type="cellIs" dxfId="2062" priority="2358" operator="equal">
      <formula>"Mayor"</formula>
    </cfRule>
    <cfRule type="cellIs" dxfId="2061" priority="2359" operator="equal">
      <formula>"Moderado"</formula>
    </cfRule>
    <cfRule type="cellIs" dxfId="2060" priority="2360" operator="equal">
      <formula>"Menor"</formula>
    </cfRule>
    <cfRule type="cellIs" dxfId="2059" priority="2361" operator="equal">
      <formula>"Leve"</formula>
    </cfRule>
  </conditionalFormatting>
  <conditionalFormatting sqref="AF59">
    <cfRule type="cellIs" dxfId="2058" priority="2353" operator="equal">
      <formula>"Extremo"</formula>
    </cfRule>
    <cfRule type="cellIs" dxfId="2057" priority="2354" operator="equal">
      <formula>"Alto"</formula>
    </cfRule>
    <cfRule type="cellIs" dxfId="2056" priority="2355" operator="equal">
      <formula>"Moderado"</formula>
    </cfRule>
    <cfRule type="cellIs" dxfId="2055" priority="2356" operator="equal">
      <formula>"Bajo"</formula>
    </cfRule>
  </conditionalFormatting>
  <conditionalFormatting sqref="AB60">
    <cfRule type="cellIs" dxfId="2054" priority="2348" operator="equal">
      <formula>"Muy Alta"</formula>
    </cfRule>
    <cfRule type="cellIs" dxfId="2053" priority="2349" operator="equal">
      <formula>"Alta"</formula>
    </cfRule>
    <cfRule type="cellIs" dxfId="2052" priority="2350" operator="equal">
      <formula>"Media"</formula>
    </cfRule>
    <cfRule type="cellIs" dxfId="2051" priority="2351" operator="equal">
      <formula>"Baja"</formula>
    </cfRule>
    <cfRule type="cellIs" dxfId="2050" priority="2352" operator="equal">
      <formula>"Muy Baja"</formula>
    </cfRule>
  </conditionalFormatting>
  <conditionalFormatting sqref="AD60">
    <cfRule type="cellIs" dxfId="2049" priority="2343" operator="equal">
      <formula>"Catastrófico"</formula>
    </cfRule>
    <cfRule type="cellIs" dxfId="2048" priority="2344" operator="equal">
      <formula>"Mayor"</formula>
    </cfRule>
    <cfRule type="cellIs" dxfId="2047" priority="2345" operator="equal">
      <formula>"Moderado"</formula>
    </cfRule>
    <cfRule type="cellIs" dxfId="2046" priority="2346" operator="equal">
      <formula>"Menor"</formula>
    </cfRule>
    <cfRule type="cellIs" dxfId="2045" priority="2347" operator="equal">
      <formula>"Leve"</formula>
    </cfRule>
  </conditionalFormatting>
  <conditionalFormatting sqref="AF60">
    <cfRule type="cellIs" dxfId="2044" priority="2339" operator="equal">
      <formula>"Extremo"</formula>
    </cfRule>
    <cfRule type="cellIs" dxfId="2043" priority="2340" operator="equal">
      <formula>"Alto"</formula>
    </cfRule>
    <cfRule type="cellIs" dxfId="2042" priority="2341" operator="equal">
      <formula>"Moderado"</formula>
    </cfRule>
    <cfRule type="cellIs" dxfId="2041" priority="2342" operator="equal">
      <formula>"Bajo"</formula>
    </cfRule>
  </conditionalFormatting>
  <conditionalFormatting sqref="AB62">
    <cfRule type="cellIs" dxfId="2040" priority="2334" operator="equal">
      <formula>"Muy Alta"</formula>
    </cfRule>
    <cfRule type="cellIs" dxfId="2039" priority="2335" operator="equal">
      <formula>"Alta"</formula>
    </cfRule>
    <cfRule type="cellIs" dxfId="2038" priority="2336" operator="equal">
      <formula>"Media"</formula>
    </cfRule>
    <cfRule type="cellIs" dxfId="2037" priority="2337" operator="equal">
      <formula>"Baja"</formula>
    </cfRule>
    <cfRule type="cellIs" dxfId="2036" priority="2338" operator="equal">
      <formula>"Muy Baja"</formula>
    </cfRule>
  </conditionalFormatting>
  <conditionalFormatting sqref="AD62">
    <cfRule type="cellIs" dxfId="2035" priority="2329" operator="equal">
      <formula>"Catastrófico"</formula>
    </cfRule>
    <cfRule type="cellIs" dxfId="2034" priority="2330" operator="equal">
      <formula>"Mayor"</formula>
    </cfRule>
    <cfRule type="cellIs" dxfId="2033" priority="2331" operator="equal">
      <formula>"Moderado"</formula>
    </cfRule>
    <cfRule type="cellIs" dxfId="2032" priority="2332" operator="equal">
      <formula>"Menor"</formula>
    </cfRule>
    <cfRule type="cellIs" dxfId="2031" priority="2333" operator="equal">
      <formula>"Leve"</formula>
    </cfRule>
  </conditionalFormatting>
  <conditionalFormatting sqref="AF62">
    <cfRule type="cellIs" dxfId="2030" priority="2325" operator="equal">
      <formula>"Extremo"</formula>
    </cfRule>
    <cfRule type="cellIs" dxfId="2029" priority="2326" operator="equal">
      <formula>"Alto"</formula>
    </cfRule>
    <cfRule type="cellIs" dxfId="2028" priority="2327" operator="equal">
      <formula>"Moderado"</formula>
    </cfRule>
    <cfRule type="cellIs" dxfId="2027" priority="2328" operator="equal">
      <formula>"Bajo"</formula>
    </cfRule>
  </conditionalFormatting>
  <conditionalFormatting sqref="AB63">
    <cfRule type="cellIs" dxfId="2026" priority="2320" operator="equal">
      <formula>"Muy Alta"</formula>
    </cfRule>
    <cfRule type="cellIs" dxfId="2025" priority="2321" operator="equal">
      <formula>"Alta"</formula>
    </cfRule>
    <cfRule type="cellIs" dxfId="2024" priority="2322" operator="equal">
      <formula>"Media"</formula>
    </cfRule>
    <cfRule type="cellIs" dxfId="2023" priority="2323" operator="equal">
      <formula>"Baja"</formula>
    </cfRule>
    <cfRule type="cellIs" dxfId="2022" priority="2324" operator="equal">
      <formula>"Muy Baja"</formula>
    </cfRule>
  </conditionalFormatting>
  <conditionalFormatting sqref="AD63">
    <cfRule type="cellIs" dxfId="2021" priority="2315" operator="equal">
      <formula>"Catastrófico"</formula>
    </cfRule>
    <cfRule type="cellIs" dxfId="2020" priority="2316" operator="equal">
      <formula>"Mayor"</formula>
    </cfRule>
    <cfRule type="cellIs" dxfId="2019" priority="2317" operator="equal">
      <formula>"Moderado"</formula>
    </cfRule>
    <cfRule type="cellIs" dxfId="2018" priority="2318" operator="equal">
      <formula>"Menor"</formula>
    </cfRule>
    <cfRule type="cellIs" dxfId="2017" priority="2319" operator="equal">
      <formula>"Leve"</formula>
    </cfRule>
  </conditionalFormatting>
  <conditionalFormatting sqref="AF63">
    <cfRule type="cellIs" dxfId="2016" priority="2311" operator="equal">
      <formula>"Extremo"</formula>
    </cfRule>
    <cfRule type="cellIs" dxfId="2015" priority="2312" operator="equal">
      <formula>"Alto"</formula>
    </cfRule>
    <cfRule type="cellIs" dxfId="2014" priority="2313" operator="equal">
      <formula>"Moderado"</formula>
    </cfRule>
    <cfRule type="cellIs" dxfId="2013" priority="2314" operator="equal">
      <formula>"Bajo"</formula>
    </cfRule>
  </conditionalFormatting>
  <conditionalFormatting sqref="AB65">
    <cfRule type="cellIs" dxfId="2012" priority="2306" operator="equal">
      <formula>"Muy Alta"</formula>
    </cfRule>
    <cfRule type="cellIs" dxfId="2011" priority="2307" operator="equal">
      <formula>"Alta"</formula>
    </cfRule>
    <cfRule type="cellIs" dxfId="2010" priority="2308" operator="equal">
      <formula>"Media"</formula>
    </cfRule>
    <cfRule type="cellIs" dxfId="2009" priority="2309" operator="equal">
      <formula>"Baja"</formula>
    </cfRule>
    <cfRule type="cellIs" dxfId="2008" priority="2310" operator="equal">
      <formula>"Muy Baja"</formula>
    </cfRule>
  </conditionalFormatting>
  <conditionalFormatting sqref="AD65">
    <cfRule type="cellIs" dxfId="2007" priority="2301" operator="equal">
      <formula>"Catastrófico"</formula>
    </cfRule>
    <cfRule type="cellIs" dxfId="2006" priority="2302" operator="equal">
      <formula>"Mayor"</formula>
    </cfRule>
    <cfRule type="cellIs" dxfId="2005" priority="2303" operator="equal">
      <formula>"Moderado"</formula>
    </cfRule>
    <cfRule type="cellIs" dxfId="2004" priority="2304" operator="equal">
      <formula>"Menor"</formula>
    </cfRule>
    <cfRule type="cellIs" dxfId="2003" priority="2305" operator="equal">
      <formula>"Leve"</formula>
    </cfRule>
  </conditionalFormatting>
  <conditionalFormatting sqref="AF65">
    <cfRule type="cellIs" dxfId="2002" priority="2297" operator="equal">
      <formula>"Extremo"</formula>
    </cfRule>
    <cfRule type="cellIs" dxfId="2001" priority="2298" operator="equal">
      <formula>"Alto"</formula>
    </cfRule>
    <cfRule type="cellIs" dxfId="2000" priority="2299" operator="equal">
      <formula>"Moderado"</formula>
    </cfRule>
    <cfRule type="cellIs" dxfId="1999" priority="2300" operator="equal">
      <formula>"Bajo"</formula>
    </cfRule>
  </conditionalFormatting>
  <conditionalFormatting sqref="AB66">
    <cfRule type="cellIs" dxfId="1998" priority="2292" operator="equal">
      <formula>"Muy Alta"</formula>
    </cfRule>
    <cfRule type="cellIs" dxfId="1997" priority="2293" operator="equal">
      <formula>"Alta"</formula>
    </cfRule>
    <cfRule type="cellIs" dxfId="1996" priority="2294" operator="equal">
      <formula>"Media"</formula>
    </cfRule>
    <cfRule type="cellIs" dxfId="1995" priority="2295" operator="equal">
      <formula>"Baja"</formula>
    </cfRule>
    <cfRule type="cellIs" dxfId="1994" priority="2296" operator="equal">
      <formula>"Muy Baja"</formula>
    </cfRule>
  </conditionalFormatting>
  <conditionalFormatting sqref="AD66">
    <cfRule type="cellIs" dxfId="1993" priority="2287" operator="equal">
      <formula>"Catastrófico"</formula>
    </cfRule>
    <cfRule type="cellIs" dxfId="1992" priority="2288" operator="equal">
      <formula>"Mayor"</formula>
    </cfRule>
    <cfRule type="cellIs" dxfId="1991" priority="2289" operator="equal">
      <formula>"Moderado"</formula>
    </cfRule>
    <cfRule type="cellIs" dxfId="1990" priority="2290" operator="equal">
      <formula>"Menor"</formula>
    </cfRule>
    <cfRule type="cellIs" dxfId="1989" priority="2291" operator="equal">
      <formula>"Leve"</formula>
    </cfRule>
  </conditionalFormatting>
  <conditionalFormatting sqref="AF66">
    <cfRule type="cellIs" dxfId="1988" priority="2283" operator="equal">
      <formula>"Extremo"</formula>
    </cfRule>
    <cfRule type="cellIs" dxfId="1987" priority="2284" operator="equal">
      <formula>"Alto"</formula>
    </cfRule>
    <cfRule type="cellIs" dxfId="1986" priority="2285" operator="equal">
      <formula>"Moderado"</formula>
    </cfRule>
    <cfRule type="cellIs" dxfId="1985" priority="2286" operator="equal">
      <formula>"Bajo"</formula>
    </cfRule>
  </conditionalFormatting>
  <conditionalFormatting sqref="AB70">
    <cfRule type="cellIs" dxfId="1984" priority="2278" operator="equal">
      <formula>"Muy Alta"</formula>
    </cfRule>
    <cfRule type="cellIs" dxfId="1983" priority="2279" operator="equal">
      <formula>"Alta"</formula>
    </cfRule>
    <cfRule type="cellIs" dxfId="1982" priority="2280" operator="equal">
      <formula>"Media"</formula>
    </cfRule>
    <cfRule type="cellIs" dxfId="1981" priority="2281" operator="equal">
      <formula>"Baja"</formula>
    </cfRule>
    <cfRule type="cellIs" dxfId="1980" priority="2282" operator="equal">
      <formula>"Muy Baja"</formula>
    </cfRule>
  </conditionalFormatting>
  <conditionalFormatting sqref="AD70">
    <cfRule type="cellIs" dxfId="1979" priority="2273" operator="equal">
      <formula>"Catastrófico"</formula>
    </cfRule>
    <cfRule type="cellIs" dxfId="1978" priority="2274" operator="equal">
      <formula>"Mayor"</formula>
    </cfRule>
    <cfRule type="cellIs" dxfId="1977" priority="2275" operator="equal">
      <formula>"Moderado"</formula>
    </cfRule>
    <cfRule type="cellIs" dxfId="1976" priority="2276" operator="equal">
      <formula>"Menor"</formula>
    </cfRule>
    <cfRule type="cellIs" dxfId="1975" priority="2277" operator="equal">
      <formula>"Leve"</formula>
    </cfRule>
  </conditionalFormatting>
  <conditionalFormatting sqref="AF70">
    <cfRule type="cellIs" dxfId="1974" priority="2269" operator="equal">
      <formula>"Extremo"</formula>
    </cfRule>
    <cfRule type="cellIs" dxfId="1973" priority="2270" operator="equal">
      <formula>"Alto"</formula>
    </cfRule>
    <cfRule type="cellIs" dxfId="1972" priority="2271" operator="equal">
      <formula>"Moderado"</formula>
    </cfRule>
    <cfRule type="cellIs" dxfId="1971" priority="2272" operator="equal">
      <formula>"Bajo"</formula>
    </cfRule>
  </conditionalFormatting>
  <conditionalFormatting sqref="AB71">
    <cfRule type="cellIs" dxfId="1970" priority="2264" operator="equal">
      <formula>"Muy Alta"</formula>
    </cfRule>
    <cfRule type="cellIs" dxfId="1969" priority="2265" operator="equal">
      <formula>"Alta"</formula>
    </cfRule>
    <cfRule type="cellIs" dxfId="1968" priority="2266" operator="equal">
      <formula>"Media"</formula>
    </cfRule>
    <cfRule type="cellIs" dxfId="1967" priority="2267" operator="equal">
      <formula>"Baja"</formula>
    </cfRule>
    <cfRule type="cellIs" dxfId="1966" priority="2268" operator="equal">
      <formula>"Muy Baja"</formula>
    </cfRule>
  </conditionalFormatting>
  <conditionalFormatting sqref="AD71">
    <cfRule type="cellIs" dxfId="1965" priority="2259" operator="equal">
      <formula>"Catastrófico"</formula>
    </cfRule>
    <cfRule type="cellIs" dxfId="1964" priority="2260" operator="equal">
      <formula>"Mayor"</formula>
    </cfRule>
    <cfRule type="cellIs" dxfId="1963" priority="2261" operator="equal">
      <formula>"Moderado"</formula>
    </cfRule>
    <cfRule type="cellIs" dxfId="1962" priority="2262" operator="equal">
      <formula>"Menor"</formula>
    </cfRule>
    <cfRule type="cellIs" dxfId="1961" priority="2263" operator="equal">
      <formula>"Leve"</formula>
    </cfRule>
  </conditionalFormatting>
  <conditionalFormatting sqref="AF71">
    <cfRule type="cellIs" dxfId="1960" priority="2255" operator="equal">
      <formula>"Extremo"</formula>
    </cfRule>
    <cfRule type="cellIs" dxfId="1959" priority="2256" operator="equal">
      <formula>"Alto"</formula>
    </cfRule>
    <cfRule type="cellIs" dxfId="1958" priority="2257" operator="equal">
      <formula>"Moderado"</formula>
    </cfRule>
    <cfRule type="cellIs" dxfId="1957" priority="2258" operator="equal">
      <formula>"Bajo"</formula>
    </cfRule>
  </conditionalFormatting>
  <conditionalFormatting sqref="AB72">
    <cfRule type="cellIs" dxfId="1956" priority="2250" operator="equal">
      <formula>"Muy Alta"</formula>
    </cfRule>
    <cfRule type="cellIs" dxfId="1955" priority="2251" operator="equal">
      <formula>"Alta"</formula>
    </cfRule>
    <cfRule type="cellIs" dxfId="1954" priority="2252" operator="equal">
      <formula>"Media"</formula>
    </cfRule>
    <cfRule type="cellIs" dxfId="1953" priority="2253" operator="equal">
      <formula>"Baja"</formula>
    </cfRule>
    <cfRule type="cellIs" dxfId="1952" priority="2254" operator="equal">
      <formula>"Muy Baja"</formula>
    </cfRule>
  </conditionalFormatting>
  <conditionalFormatting sqref="AD72">
    <cfRule type="cellIs" dxfId="1951" priority="2245" operator="equal">
      <formula>"Catastrófico"</formula>
    </cfRule>
    <cfRule type="cellIs" dxfId="1950" priority="2246" operator="equal">
      <formula>"Mayor"</formula>
    </cfRule>
    <cfRule type="cellIs" dxfId="1949" priority="2247" operator="equal">
      <formula>"Moderado"</formula>
    </cfRule>
    <cfRule type="cellIs" dxfId="1948" priority="2248" operator="equal">
      <formula>"Menor"</formula>
    </cfRule>
    <cfRule type="cellIs" dxfId="1947" priority="2249" operator="equal">
      <formula>"Leve"</formula>
    </cfRule>
  </conditionalFormatting>
  <conditionalFormatting sqref="AF72">
    <cfRule type="cellIs" dxfId="1946" priority="2241" operator="equal">
      <formula>"Extremo"</formula>
    </cfRule>
    <cfRule type="cellIs" dxfId="1945" priority="2242" operator="equal">
      <formula>"Alto"</formula>
    </cfRule>
    <cfRule type="cellIs" dxfId="1944" priority="2243" operator="equal">
      <formula>"Moderado"</formula>
    </cfRule>
    <cfRule type="cellIs" dxfId="1943" priority="2244" operator="equal">
      <formula>"Bajo"</formula>
    </cfRule>
  </conditionalFormatting>
  <conditionalFormatting sqref="AB74">
    <cfRule type="cellIs" dxfId="1942" priority="2236" operator="equal">
      <formula>"Muy Alta"</formula>
    </cfRule>
    <cfRule type="cellIs" dxfId="1941" priority="2237" operator="equal">
      <formula>"Alta"</formula>
    </cfRule>
    <cfRule type="cellIs" dxfId="1940" priority="2238" operator="equal">
      <formula>"Media"</formula>
    </cfRule>
    <cfRule type="cellIs" dxfId="1939" priority="2239" operator="equal">
      <formula>"Baja"</formula>
    </cfRule>
    <cfRule type="cellIs" dxfId="1938" priority="2240" operator="equal">
      <formula>"Muy Baja"</formula>
    </cfRule>
  </conditionalFormatting>
  <conditionalFormatting sqref="AD74">
    <cfRule type="cellIs" dxfId="1937" priority="2231" operator="equal">
      <formula>"Catastrófico"</formula>
    </cfRule>
    <cfRule type="cellIs" dxfId="1936" priority="2232" operator="equal">
      <formula>"Mayor"</formula>
    </cfRule>
    <cfRule type="cellIs" dxfId="1935" priority="2233" operator="equal">
      <formula>"Moderado"</formula>
    </cfRule>
    <cfRule type="cellIs" dxfId="1934" priority="2234" operator="equal">
      <formula>"Menor"</formula>
    </cfRule>
    <cfRule type="cellIs" dxfId="1933" priority="2235" operator="equal">
      <formula>"Leve"</formula>
    </cfRule>
  </conditionalFormatting>
  <conditionalFormatting sqref="AF74">
    <cfRule type="cellIs" dxfId="1932" priority="2227" operator="equal">
      <formula>"Extremo"</formula>
    </cfRule>
    <cfRule type="cellIs" dxfId="1931" priority="2228" operator="equal">
      <formula>"Alto"</formula>
    </cfRule>
    <cfRule type="cellIs" dxfId="1930" priority="2229" operator="equal">
      <formula>"Moderado"</formula>
    </cfRule>
    <cfRule type="cellIs" dxfId="1929" priority="2230" operator="equal">
      <formula>"Bajo"</formula>
    </cfRule>
  </conditionalFormatting>
  <conditionalFormatting sqref="AB73">
    <cfRule type="cellIs" dxfId="1928" priority="2222" operator="equal">
      <formula>"Muy Alta"</formula>
    </cfRule>
    <cfRule type="cellIs" dxfId="1927" priority="2223" operator="equal">
      <formula>"Alta"</formula>
    </cfRule>
    <cfRule type="cellIs" dxfId="1926" priority="2224" operator="equal">
      <formula>"Media"</formula>
    </cfRule>
    <cfRule type="cellIs" dxfId="1925" priority="2225" operator="equal">
      <formula>"Baja"</formula>
    </cfRule>
    <cfRule type="cellIs" dxfId="1924" priority="2226" operator="equal">
      <formula>"Muy Baja"</formula>
    </cfRule>
  </conditionalFormatting>
  <conditionalFormatting sqref="AD73">
    <cfRule type="cellIs" dxfId="1923" priority="2217" operator="equal">
      <formula>"Catastrófico"</formula>
    </cfRule>
    <cfRule type="cellIs" dxfId="1922" priority="2218" operator="equal">
      <formula>"Mayor"</formula>
    </cfRule>
    <cfRule type="cellIs" dxfId="1921" priority="2219" operator="equal">
      <formula>"Moderado"</formula>
    </cfRule>
    <cfRule type="cellIs" dxfId="1920" priority="2220" operator="equal">
      <formula>"Menor"</formula>
    </cfRule>
    <cfRule type="cellIs" dxfId="1919" priority="2221" operator="equal">
      <formula>"Leve"</formula>
    </cfRule>
  </conditionalFormatting>
  <conditionalFormatting sqref="AF73">
    <cfRule type="cellIs" dxfId="1918" priority="2213" operator="equal">
      <formula>"Extremo"</formula>
    </cfRule>
    <cfRule type="cellIs" dxfId="1917" priority="2214" operator="equal">
      <formula>"Alto"</formula>
    </cfRule>
    <cfRule type="cellIs" dxfId="1916" priority="2215" operator="equal">
      <formula>"Moderado"</formula>
    </cfRule>
    <cfRule type="cellIs" dxfId="1915" priority="2216" operator="equal">
      <formula>"Bajo"</formula>
    </cfRule>
  </conditionalFormatting>
  <conditionalFormatting sqref="AB75">
    <cfRule type="cellIs" dxfId="1914" priority="2208" operator="equal">
      <formula>"Muy Alta"</formula>
    </cfRule>
    <cfRule type="cellIs" dxfId="1913" priority="2209" operator="equal">
      <formula>"Alta"</formula>
    </cfRule>
    <cfRule type="cellIs" dxfId="1912" priority="2210" operator="equal">
      <formula>"Media"</formula>
    </cfRule>
    <cfRule type="cellIs" dxfId="1911" priority="2211" operator="equal">
      <formula>"Baja"</formula>
    </cfRule>
    <cfRule type="cellIs" dxfId="1910" priority="2212" operator="equal">
      <formula>"Muy Baja"</formula>
    </cfRule>
  </conditionalFormatting>
  <conditionalFormatting sqref="AD75">
    <cfRule type="cellIs" dxfId="1909" priority="2203" operator="equal">
      <formula>"Catastrófico"</formula>
    </cfRule>
    <cfRule type="cellIs" dxfId="1908" priority="2204" operator="equal">
      <formula>"Mayor"</formula>
    </cfRule>
    <cfRule type="cellIs" dxfId="1907" priority="2205" operator="equal">
      <formula>"Moderado"</formula>
    </cfRule>
    <cfRule type="cellIs" dxfId="1906" priority="2206" operator="equal">
      <formula>"Menor"</formula>
    </cfRule>
    <cfRule type="cellIs" dxfId="1905" priority="2207" operator="equal">
      <formula>"Leve"</formula>
    </cfRule>
  </conditionalFormatting>
  <conditionalFormatting sqref="AF75">
    <cfRule type="cellIs" dxfId="1904" priority="2199" operator="equal">
      <formula>"Extremo"</formula>
    </cfRule>
    <cfRule type="cellIs" dxfId="1903" priority="2200" operator="equal">
      <formula>"Alto"</formula>
    </cfRule>
    <cfRule type="cellIs" dxfId="1902" priority="2201" operator="equal">
      <formula>"Moderado"</formula>
    </cfRule>
    <cfRule type="cellIs" dxfId="1901" priority="2202" operator="equal">
      <formula>"Bajo"</formula>
    </cfRule>
  </conditionalFormatting>
  <conditionalFormatting sqref="AB77">
    <cfRule type="cellIs" dxfId="1900" priority="2194" operator="equal">
      <formula>"Muy Alta"</formula>
    </cfRule>
    <cfRule type="cellIs" dxfId="1899" priority="2195" operator="equal">
      <formula>"Alta"</formula>
    </cfRule>
    <cfRule type="cellIs" dxfId="1898" priority="2196" operator="equal">
      <formula>"Media"</formula>
    </cfRule>
    <cfRule type="cellIs" dxfId="1897" priority="2197" operator="equal">
      <formula>"Baja"</formula>
    </cfRule>
    <cfRule type="cellIs" dxfId="1896" priority="2198" operator="equal">
      <formula>"Muy Baja"</formula>
    </cfRule>
  </conditionalFormatting>
  <conditionalFormatting sqref="AD77">
    <cfRule type="cellIs" dxfId="1895" priority="2189" operator="equal">
      <formula>"Catastrófico"</formula>
    </cfRule>
    <cfRule type="cellIs" dxfId="1894" priority="2190" operator="equal">
      <formula>"Mayor"</formula>
    </cfRule>
    <cfRule type="cellIs" dxfId="1893" priority="2191" operator="equal">
      <formula>"Moderado"</formula>
    </cfRule>
    <cfRule type="cellIs" dxfId="1892" priority="2192" operator="equal">
      <formula>"Menor"</formula>
    </cfRule>
    <cfRule type="cellIs" dxfId="1891" priority="2193" operator="equal">
      <formula>"Leve"</formula>
    </cfRule>
  </conditionalFormatting>
  <conditionalFormatting sqref="AF77">
    <cfRule type="cellIs" dxfId="1890" priority="2185" operator="equal">
      <formula>"Extremo"</formula>
    </cfRule>
    <cfRule type="cellIs" dxfId="1889" priority="2186" operator="equal">
      <formula>"Alto"</formula>
    </cfRule>
    <cfRule type="cellIs" dxfId="1888" priority="2187" operator="equal">
      <formula>"Moderado"</formula>
    </cfRule>
    <cfRule type="cellIs" dxfId="1887" priority="2188" operator="equal">
      <formula>"Bajo"</formula>
    </cfRule>
  </conditionalFormatting>
  <conditionalFormatting sqref="AB78">
    <cfRule type="cellIs" dxfId="1886" priority="2180" operator="equal">
      <formula>"Muy Alta"</formula>
    </cfRule>
    <cfRule type="cellIs" dxfId="1885" priority="2181" operator="equal">
      <formula>"Alta"</formula>
    </cfRule>
    <cfRule type="cellIs" dxfId="1884" priority="2182" operator="equal">
      <formula>"Media"</formula>
    </cfRule>
    <cfRule type="cellIs" dxfId="1883" priority="2183" operator="equal">
      <formula>"Baja"</formula>
    </cfRule>
    <cfRule type="cellIs" dxfId="1882" priority="2184" operator="equal">
      <formula>"Muy Baja"</formula>
    </cfRule>
  </conditionalFormatting>
  <conditionalFormatting sqref="AD78">
    <cfRule type="cellIs" dxfId="1881" priority="2175" operator="equal">
      <formula>"Catastrófico"</formula>
    </cfRule>
    <cfRule type="cellIs" dxfId="1880" priority="2176" operator="equal">
      <formula>"Mayor"</formula>
    </cfRule>
    <cfRule type="cellIs" dxfId="1879" priority="2177" operator="equal">
      <formula>"Moderado"</formula>
    </cfRule>
    <cfRule type="cellIs" dxfId="1878" priority="2178" operator="equal">
      <formula>"Menor"</formula>
    </cfRule>
    <cfRule type="cellIs" dxfId="1877" priority="2179" operator="equal">
      <formula>"Leve"</formula>
    </cfRule>
  </conditionalFormatting>
  <conditionalFormatting sqref="AF78">
    <cfRule type="cellIs" dxfId="1876" priority="2171" operator="equal">
      <formula>"Extremo"</formula>
    </cfRule>
    <cfRule type="cellIs" dxfId="1875" priority="2172" operator="equal">
      <formula>"Alto"</formula>
    </cfRule>
    <cfRule type="cellIs" dxfId="1874" priority="2173" operator="equal">
      <formula>"Moderado"</formula>
    </cfRule>
    <cfRule type="cellIs" dxfId="1873" priority="2174" operator="equal">
      <formula>"Bajo"</formula>
    </cfRule>
  </conditionalFormatting>
  <conditionalFormatting sqref="AB80">
    <cfRule type="cellIs" dxfId="1872" priority="2166" operator="equal">
      <formula>"Muy Alta"</formula>
    </cfRule>
    <cfRule type="cellIs" dxfId="1871" priority="2167" operator="equal">
      <formula>"Alta"</formula>
    </cfRule>
    <cfRule type="cellIs" dxfId="1870" priority="2168" operator="equal">
      <formula>"Media"</formula>
    </cfRule>
    <cfRule type="cellIs" dxfId="1869" priority="2169" operator="equal">
      <formula>"Baja"</formula>
    </cfRule>
    <cfRule type="cellIs" dxfId="1868" priority="2170" operator="equal">
      <formula>"Muy Baja"</formula>
    </cfRule>
  </conditionalFormatting>
  <conditionalFormatting sqref="AD80">
    <cfRule type="cellIs" dxfId="1867" priority="2161" operator="equal">
      <formula>"Catastrófico"</formula>
    </cfRule>
    <cfRule type="cellIs" dxfId="1866" priority="2162" operator="equal">
      <formula>"Mayor"</formula>
    </cfRule>
    <cfRule type="cellIs" dxfId="1865" priority="2163" operator="equal">
      <formula>"Moderado"</formula>
    </cfRule>
    <cfRule type="cellIs" dxfId="1864" priority="2164" operator="equal">
      <formula>"Menor"</formula>
    </cfRule>
    <cfRule type="cellIs" dxfId="1863" priority="2165" operator="equal">
      <formula>"Leve"</formula>
    </cfRule>
  </conditionalFormatting>
  <conditionalFormatting sqref="AF80">
    <cfRule type="cellIs" dxfId="1862" priority="2157" operator="equal">
      <formula>"Extremo"</formula>
    </cfRule>
    <cfRule type="cellIs" dxfId="1861" priority="2158" operator="equal">
      <formula>"Alto"</formula>
    </cfRule>
    <cfRule type="cellIs" dxfId="1860" priority="2159" operator="equal">
      <formula>"Moderado"</formula>
    </cfRule>
    <cfRule type="cellIs" dxfId="1859" priority="2160" operator="equal">
      <formula>"Bajo"</formula>
    </cfRule>
  </conditionalFormatting>
  <conditionalFormatting sqref="AB81">
    <cfRule type="cellIs" dxfId="1858" priority="2152" operator="equal">
      <formula>"Muy Alta"</formula>
    </cfRule>
    <cfRule type="cellIs" dxfId="1857" priority="2153" operator="equal">
      <formula>"Alta"</formula>
    </cfRule>
    <cfRule type="cellIs" dxfId="1856" priority="2154" operator="equal">
      <formula>"Media"</formula>
    </cfRule>
    <cfRule type="cellIs" dxfId="1855" priority="2155" operator="equal">
      <formula>"Baja"</formula>
    </cfRule>
    <cfRule type="cellIs" dxfId="1854" priority="2156" operator="equal">
      <formula>"Muy Baja"</formula>
    </cfRule>
  </conditionalFormatting>
  <conditionalFormatting sqref="AD81">
    <cfRule type="cellIs" dxfId="1853" priority="2147" operator="equal">
      <formula>"Catastrófico"</formula>
    </cfRule>
    <cfRule type="cellIs" dxfId="1852" priority="2148" operator="equal">
      <formula>"Mayor"</formula>
    </cfRule>
    <cfRule type="cellIs" dxfId="1851" priority="2149" operator="equal">
      <formula>"Moderado"</formula>
    </cfRule>
    <cfRule type="cellIs" dxfId="1850" priority="2150" operator="equal">
      <formula>"Menor"</formula>
    </cfRule>
    <cfRule type="cellIs" dxfId="1849" priority="2151" operator="equal">
      <formula>"Leve"</formula>
    </cfRule>
  </conditionalFormatting>
  <conditionalFormatting sqref="AF81">
    <cfRule type="cellIs" dxfId="1848" priority="2143" operator="equal">
      <formula>"Extremo"</formula>
    </cfRule>
    <cfRule type="cellIs" dxfId="1847" priority="2144" operator="equal">
      <formula>"Alto"</formula>
    </cfRule>
    <cfRule type="cellIs" dxfId="1846" priority="2145" operator="equal">
      <formula>"Moderado"</formula>
    </cfRule>
    <cfRule type="cellIs" dxfId="1845" priority="2146" operator="equal">
      <formula>"Bajo"</formula>
    </cfRule>
  </conditionalFormatting>
  <conditionalFormatting sqref="AB86">
    <cfRule type="cellIs" dxfId="1844" priority="2138" operator="equal">
      <formula>"Muy Alta"</formula>
    </cfRule>
    <cfRule type="cellIs" dxfId="1843" priority="2139" operator="equal">
      <formula>"Alta"</formula>
    </cfRule>
    <cfRule type="cellIs" dxfId="1842" priority="2140" operator="equal">
      <formula>"Media"</formula>
    </cfRule>
    <cfRule type="cellIs" dxfId="1841" priority="2141" operator="equal">
      <formula>"Baja"</formula>
    </cfRule>
    <cfRule type="cellIs" dxfId="1840" priority="2142" operator="equal">
      <formula>"Muy Baja"</formula>
    </cfRule>
  </conditionalFormatting>
  <conditionalFormatting sqref="AD86">
    <cfRule type="cellIs" dxfId="1839" priority="2133" operator="equal">
      <formula>"Catastrófico"</formula>
    </cfRule>
    <cfRule type="cellIs" dxfId="1838" priority="2134" operator="equal">
      <formula>"Mayor"</formula>
    </cfRule>
    <cfRule type="cellIs" dxfId="1837" priority="2135" operator="equal">
      <formula>"Moderado"</formula>
    </cfRule>
    <cfRule type="cellIs" dxfId="1836" priority="2136" operator="equal">
      <formula>"Menor"</formula>
    </cfRule>
    <cfRule type="cellIs" dxfId="1835" priority="2137" operator="equal">
      <formula>"Leve"</formula>
    </cfRule>
  </conditionalFormatting>
  <conditionalFormatting sqref="AF86">
    <cfRule type="cellIs" dxfId="1834" priority="2129" operator="equal">
      <formula>"Extremo"</formula>
    </cfRule>
    <cfRule type="cellIs" dxfId="1833" priority="2130" operator="equal">
      <formula>"Alto"</formula>
    </cfRule>
    <cfRule type="cellIs" dxfId="1832" priority="2131" operator="equal">
      <formula>"Moderado"</formula>
    </cfRule>
    <cfRule type="cellIs" dxfId="1831" priority="2132" operator="equal">
      <formula>"Bajo"</formula>
    </cfRule>
  </conditionalFormatting>
  <conditionalFormatting sqref="AB87">
    <cfRule type="cellIs" dxfId="1830" priority="2124" operator="equal">
      <formula>"Muy Alta"</formula>
    </cfRule>
    <cfRule type="cellIs" dxfId="1829" priority="2125" operator="equal">
      <formula>"Alta"</formula>
    </cfRule>
    <cfRule type="cellIs" dxfId="1828" priority="2126" operator="equal">
      <formula>"Media"</formula>
    </cfRule>
    <cfRule type="cellIs" dxfId="1827" priority="2127" operator="equal">
      <formula>"Baja"</formula>
    </cfRule>
    <cfRule type="cellIs" dxfId="1826" priority="2128" operator="equal">
      <formula>"Muy Baja"</formula>
    </cfRule>
  </conditionalFormatting>
  <conditionalFormatting sqref="AD87">
    <cfRule type="cellIs" dxfId="1825" priority="2119" operator="equal">
      <formula>"Catastrófico"</formula>
    </cfRule>
    <cfRule type="cellIs" dxfId="1824" priority="2120" operator="equal">
      <formula>"Mayor"</formula>
    </cfRule>
    <cfRule type="cellIs" dxfId="1823" priority="2121" operator="equal">
      <formula>"Moderado"</formula>
    </cfRule>
    <cfRule type="cellIs" dxfId="1822" priority="2122" operator="equal">
      <formula>"Menor"</formula>
    </cfRule>
    <cfRule type="cellIs" dxfId="1821" priority="2123" operator="equal">
      <formula>"Leve"</formula>
    </cfRule>
  </conditionalFormatting>
  <conditionalFormatting sqref="AF87">
    <cfRule type="cellIs" dxfId="1820" priority="2115" operator="equal">
      <formula>"Extremo"</formula>
    </cfRule>
    <cfRule type="cellIs" dxfId="1819" priority="2116" operator="equal">
      <formula>"Alto"</formula>
    </cfRule>
    <cfRule type="cellIs" dxfId="1818" priority="2117" operator="equal">
      <formula>"Moderado"</formula>
    </cfRule>
    <cfRule type="cellIs" dxfId="1817" priority="2118" operator="equal">
      <formula>"Bajo"</formula>
    </cfRule>
  </conditionalFormatting>
  <conditionalFormatting sqref="AB89">
    <cfRule type="cellIs" dxfId="1816" priority="2110" operator="equal">
      <formula>"Muy Alta"</formula>
    </cfRule>
    <cfRule type="cellIs" dxfId="1815" priority="2111" operator="equal">
      <formula>"Alta"</formula>
    </cfRule>
    <cfRule type="cellIs" dxfId="1814" priority="2112" operator="equal">
      <formula>"Media"</formula>
    </cfRule>
    <cfRule type="cellIs" dxfId="1813" priority="2113" operator="equal">
      <formula>"Baja"</formula>
    </cfRule>
    <cfRule type="cellIs" dxfId="1812" priority="2114" operator="equal">
      <formula>"Muy Baja"</formula>
    </cfRule>
  </conditionalFormatting>
  <conditionalFormatting sqref="AD89">
    <cfRule type="cellIs" dxfId="1811" priority="2105" operator="equal">
      <formula>"Catastrófico"</formula>
    </cfRule>
    <cfRule type="cellIs" dxfId="1810" priority="2106" operator="equal">
      <formula>"Mayor"</formula>
    </cfRule>
    <cfRule type="cellIs" dxfId="1809" priority="2107" operator="equal">
      <formula>"Moderado"</formula>
    </cfRule>
    <cfRule type="cellIs" dxfId="1808" priority="2108" operator="equal">
      <formula>"Menor"</formula>
    </cfRule>
    <cfRule type="cellIs" dxfId="1807" priority="2109" operator="equal">
      <formula>"Leve"</formula>
    </cfRule>
  </conditionalFormatting>
  <conditionalFormatting sqref="AF89">
    <cfRule type="cellIs" dxfId="1806" priority="2101" operator="equal">
      <formula>"Extremo"</formula>
    </cfRule>
    <cfRule type="cellIs" dxfId="1805" priority="2102" operator="equal">
      <formula>"Alto"</formula>
    </cfRule>
    <cfRule type="cellIs" dxfId="1804" priority="2103" operator="equal">
      <formula>"Moderado"</formula>
    </cfRule>
    <cfRule type="cellIs" dxfId="1803" priority="2104" operator="equal">
      <formula>"Bajo"</formula>
    </cfRule>
  </conditionalFormatting>
  <conditionalFormatting sqref="AB91">
    <cfRule type="cellIs" dxfId="1802" priority="2096" operator="equal">
      <formula>"Muy Alta"</formula>
    </cfRule>
    <cfRule type="cellIs" dxfId="1801" priority="2097" operator="equal">
      <formula>"Alta"</formula>
    </cfRule>
    <cfRule type="cellIs" dxfId="1800" priority="2098" operator="equal">
      <formula>"Media"</formula>
    </cfRule>
    <cfRule type="cellIs" dxfId="1799" priority="2099" operator="equal">
      <formula>"Baja"</formula>
    </cfRule>
    <cfRule type="cellIs" dxfId="1798" priority="2100" operator="equal">
      <formula>"Muy Baja"</formula>
    </cfRule>
  </conditionalFormatting>
  <conditionalFormatting sqref="AD91">
    <cfRule type="cellIs" dxfId="1797" priority="2091" operator="equal">
      <formula>"Catastrófico"</formula>
    </cfRule>
    <cfRule type="cellIs" dxfId="1796" priority="2092" operator="equal">
      <formula>"Mayor"</formula>
    </cfRule>
    <cfRule type="cellIs" dxfId="1795" priority="2093" operator="equal">
      <formula>"Moderado"</formula>
    </cfRule>
    <cfRule type="cellIs" dxfId="1794" priority="2094" operator="equal">
      <formula>"Menor"</formula>
    </cfRule>
    <cfRule type="cellIs" dxfId="1793" priority="2095" operator="equal">
      <formula>"Leve"</formula>
    </cfRule>
  </conditionalFormatting>
  <conditionalFormatting sqref="AF91">
    <cfRule type="cellIs" dxfId="1792" priority="2087" operator="equal">
      <formula>"Extremo"</formula>
    </cfRule>
    <cfRule type="cellIs" dxfId="1791" priority="2088" operator="equal">
      <formula>"Alto"</formula>
    </cfRule>
    <cfRule type="cellIs" dxfId="1790" priority="2089" operator="equal">
      <formula>"Moderado"</formula>
    </cfRule>
    <cfRule type="cellIs" dxfId="1789" priority="2090" operator="equal">
      <formula>"Bajo"</formula>
    </cfRule>
  </conditionalFormatting>
  <conditionalFormatting sqref="AB90">
    <cfRule type="cellIs" dxfId="1788" priority="2082" operator="equal">
      <formula>"Muy Alta"</formula>
    </cfRule>
    <cfRule type="cellIs" dxfId="1787" priority="2083" operator="equal">
      <formula>"Alta"</formula>
    </cfRule>
    <cfRule type="cellIs" dxfId="1786" priority="2084" operator="equal">
      <formula>"Media"</formula>
    </cfRule>
    <cfRule type="cellIs" dxfId="1785" priority="2085" operator="equal">
      <formula>"Baja"</formula>
    </cfRule>
    <cfRule type="cellIs" dxfId="1784" priority="2086" operator="equal">
      <formula>"Muy Baja"</formula>
    </cfRule>
  </conditionalFormatting>
  <conditionalFormatting sqref="AD90">
    <cfRule type="cellIs" dxfId="1783" priority="2077" operator="equal">
      <formula>"Catastrófico"</formula>
    </cfRule>
    <cfRule type="cellIs" dxfId="1782" priority="2078" operator="equal">
      <formula>"Mayor"</formula>
    </cfRule>
    <cfRule type="cellIs" dxfId="1781" priority="2079" operator="equal">
      <formula>"Moderado"</formula>
    </cfRule>
    <cfRule type="cellIs" dxfId="1780" priority="2080" operator="equal">
      <formula>"Menor"</formula>
    </cfRule>
    <cfRule type="cellIs" dxfId="1779" priority="2081" operator="equal">
      <formula>"Leve"</formula>
    </cfRule>
  </conditionalFormatting>
  <conditionalFormatting sqref="AF90">
    <cfRule type="cellIs" dxfId="1778" priority="2073" operator="equal">
      <formula>"Extremo"</formula>
    </cfRule>
    <cfRule type="cellIs" dxfId="1777" priority="2074" operator="equal">
      <formula>"Alto"</formula>
    </cfRule>
    <cfRule type="cellIs" dxfId="1776" priority="2075" operator="equal">
      <formula>"Moderado"</formula>
    </cfRule>
    <cfRule type="cellIs" dxfId="1775" priority="2076" operator="equal">
      <formula>"Bajo"</formula>
    </cfRule>
  </conditionalFormatting>
  <conditionalFormatting sqref="AB92">
    <cfRule type="cellIs" dxfId="1774" priority="2068" operator="equal">
      <formula>"Muy Alta"</formula>
    </cfRule>
    <cfRule type="cellIs" dxfId="1773" priority="2069" operator="equal">
      <formula>"Alta"</formula>
    </cfRule>
    <cfRule type="cellIs" dxfId="1772" priority="2070" operator="equal">
      <formula>"Media"</formula>
    </cfRule>
    <cfRule type="cellIs" dxfId="1771" priority="2071" operator="equal">
      <formula>"Baja"</formula>
    </cfRule>
    <cfRule type="cellIs" dxfId="1770" priority="2072" operator="equal">
      <formula>"Muy Baja"</formula>
    </cfRule>
  </conditionalFormatting>
  <conditionalFormatting sqref="AD92">
    <cfRule type="cellIs" dxfId="1769" priority="2063" operator="equal">
      <formula>"Catastrófico"</formula>
    </cfRule>
    <cfRule type="cellIs" dxfId="1768" priority="2064" operator="equal">
      <formula>"Mayor"</formula>
    </cfRule>
    <cfRule type="cellIs" dxfId="1767" priority="2065" operator="equal">
      <formula>"Moderado"</formula>
    </cfRule>
    <cfRule type="cellIs" dxfId="1766" priority="2066" operator="equal">
      <formula>"Menor"</formula>
    </cfRule>
    <cfRule type="cellIs" dxfId="1765" priority="2067" operator="equal">
      <formula>"Leve"</formula>
    </cfRule>
  </conditionalFormatting>
  <conditionalFormatting sqref="AF92">
    <cfRule type="cellIs" dxfId="1764" priority="2059" operator="equal">
      <formula>"Extremo"</formula>
    </cfRule>
    <cfRule type="cellIs" dxfId="1763" priority="2060" operator="equal">
      <formula>"Alto"</formula>
    </cfRule>
    <cfRule type="cellIs" dxfId="1762" priority="2061" operator="equal">
      <formula>"Moderado"</formula>
    </cfRule>
    <cfRule type="cellIs" dxfId="1761" priority="2062" operator="equal">
      <formula>"Bajo"</formula>
    </cfRule>
  </conditionalFormatting>
  <conditionalFormatting sqref="AB93">
    <cfRule type="cellIs" dxfId="1760" priority="2054" operator="equal">
      <formula>"Muy Alta"</formula>
    </cfRule>
    <cfRule type="cellIs" dxfId="1759" priority="2055" operator="equal">
      <formula>"Alta"</formula>
    </cfRule>
    <cfRule type="cellIs" dxfId="1758" priority="2056" operator="equal">
      <formula>"Media"</formula>
    </cfRule>
    <cfRule type="cellIs" dxfId="1757" priority="2057" operator="equal">
      <formula>"Baja"</formula>
    </cfRule>
    <cfRule type="cellIs" dxfId="1756" priority="2058" operator="equal">
      <formula>"Muy Baja"</formula>
    </cfRule>
  </conditionalFormatting>
  <conditionalFormatting sqref="AD93">
    <cfRule type="cellIs" dxfId="1755" priority="2049" operator="equal">
      <formula>"Catastrófico"</formula>
    </cfRule>
    <cfRule type="cellIs" dxfId="1754" priority="2050" operator="equal">
      <formula>"Mayor"</formula>
    </cfRule>
    <cfRule type="cellIs" dxfId="1753" priority="2051" operator="equal">
      <formula>"Moderado"</formula>
    </cfRule>
    <cfRule type="cellIs" dxfId="1752" priority="2052" operator="equal">
      <formula>"Menor"</formula>
    </cfRule>
    <cfRule type="cellIs" dxfId="1751" priority="2053" operator="equal">
      <formula>"Leve"</formula>
    </cfRule>
  </conditionalFormatting>
  <conditionalFormatting sqref="AF93">
    <cfRule type="cellIs" dxfId="1750" priority="2045" operator="equal">
      <formula>"Extremo"</formula>
    </cfRule>
    <cfRule type="cellIs" dxfId="1749" priority="2046" operator="equal">
      <formula>"Alto"</formula>
    </cfRule>
    <cfRule type="cellIs" dxfId="1748" priority="2047" operator="equal">
      <formula>"Moderado"</formula>
    </cfRule>
    <cfRule type="cellIs" dxfId="1747" priority="2048" operator="equal">
      <formula>"Bajo"</formula>
    </cfRule>
  </conditionalFormatting>
  <conditionalFormatting sqref="AB95">
    <cfRule type="cellIs" dxfId="1746" priority="2040" operator="equal">
      <formula>"Muy Alta"</formula>
    </cfRule>
    <cfRule type="cellIs" dxfId="1745" priority="2041" operator="equal">
      <formula>"Alta"</formula>
    </cfRule>
    <cfRule type="cellIs" dxfId="1744" priority="2042" operator="equal">
      <formula>"Media"</formula>
    </cfRule>
    <cfRule type="cellIs" dxfId="1743" priority="2043" operator="equal">
      <formula>"Baja"</formula>
    </cfRule>
    <cfRule type="cellIs" dxfId="1742" priority="2044" operator="equal">
      <formula>"Muy Baja"</formula>
    </cfRule>
  </conditionalFormatting>
  <conditionalFormatting sqref="AD95">
    <cfRule type="cellIs" dxfId="1741" priority="2035" operator="equal">
      <formula>"Catastrófico"</formula>
    </cfRule>
    <cfRule type="cellIs" dxfId="1740" priority="2036" operator="equal">
      <formula>"Mayor"</formula>
    </cfRule>
    <cfRule type="cellIs" dxfId="1739" priority="2037" operator="equal">
      <formula>"Moderado"</formula>
    </cfRule>
    <cfRule type="cellIs" dxfId="1738" priority="2038" operator="equal">
      <formula>"Menor"</formula>
    </cfRule>
    <cfRule type="cellIs" dxfId="1737" priority="2039" operator="equal">
      <formula>"Leve"</formula>
    </cfRule>
  </conditionalFormatting>
  <conditionalFormatting sqref="AF95">
    <cfRule type="cellIs" dxfId="1736" priority="2031" operator="equal">
      <formula>"Extremo"</formula>
    </cfRule>
    <cfRule type="cellIs" dxfId="1735" priority="2032" operator="equal">
      <formula>"Alto"</formula>
    </cfRule>
    <cfRule type="cellIs" dxfId="1734" priority="2033" operator="equal">
      <formula>"Moderado"</formula>
    </cfRule>
    <cfRule type="cellIs" dxfId="1733" priority="2034" operator="equal">
      <formula>"Bajo"</formula>
    </cfRule>
  </conditionalFormatting>
  <conditionalFormatting sqref="AB100">
    <cfRule type="cellIs" dxfId="1732" priority="1998" operator="equal">
      <formula>"Muy Alta"</formula>
    </cfRule>
    <cfRule type="cellIs" dxfId="1731" priority="1999" operator="equal">
      <formula>"Alta"</formula>
    </cfRule>
    <cfRule type="cellIs" dxfId="1730" priority="2000" operator="equal">
      <formula>"Media"</formula>
    </cfRule>
    <cfRule type="cellIs" dxfId="1729" priority="2001" operator="equal">
      <formula>"Baja"</formula>
    </cfRule>
    <cfRule type="cellIs" dxfId="1728" priority="2002" operator="equal">
      <formula>"Muy Baja"</formula>
    </cfRule>
  </conditionalFormatting>
  <conditionalFormatting sqref="AD100">
    <cfRule type="cellIs" dxfId="1727" priority="1993" operator="equal">
      <formula>"Catastrófico"</formula>
    </cfRule>
    <cfRule type="cellIs" dxfId="1726" priority="1994" operator="equal">
      <formula>"Mayor"</formula>
    </cfRule>
    <cfRule type="cellIs" dxfId="1725" priority="1995" operator="equal">
      <formula>"Moderado"</formula>
    </cfRule>
    <cfRule type="cellIs" dxfId="1724" priority="1996" operator="equal">
      <formula>"Menor"</formula>
    </cfRule>
    <cfRule type="cellIs" dxfId="1723" priority="1997" operator="equal">
      <formula>"Leve"</formula>
    </cfRule>
  </conditionalFormatting>
  <conditionalFormatting sqref="AF100">
    <cfRule type="cellIs" dxfId="1722" priority="1989" operator="equal">
      <formula>"Extremo"</formula>
    </cfRule>
    <cfRule type="cellIs" dxfId="1721" priority="1990" operator="equal">
      <formula>"Alto"</formula>
    </cfRule>
    <cfRule type="cellIs" dxfId="1720" priority="1991" operator="equal">
      <formula>"Moderado"</formula>
    </cfRule>
    <cfRule type="cellIs" dxfId="1719" priority="1992" operator="equal">
      <formula>"Bajo"</formula>
    </cfRule>
  </conditionalFormatting>
  <conditionalFormatting sqref="AB101">
    <cfRule type="cellIs" dxfId="1718" priority="1956" operator="equal">
      <formula>"Muy Alta"</formula>
    </cfRule>
    <cfRule type="cellIs" dxfId="1717" priority="1957" operator="equal">
      <formula>"Alta"</formula>
    </cfRule>
    <cfRule type="cellIs" dxfId="1716" priority="1958" operator="equal">
      <formula>"Media"</formula>
    </cfRule>
    <cfRule type="cellIs" dxfId="1715" priority="1959" operator="equal">
      <formula>"Baja"</formula>
    </cfRule>
    <cfRule type="cellIs" dxfId="1714" priority="1960" operator="equal">
      <formula>"Muy Baja"</formula>
    </cfRule>
  </conditionalFormatting>
  <conditionalFormatting sqref="AD101">
    <cfRule type="cellIs" dxfId="1713" priority="1951" operator="equal">
      <formula>"Catastrófico"</formula>
    </cfRule>
    <cfRule type="cellIs" dxfId="1712" priority="1952" operator="equal">
      <formula>"Mayor"</formula>
    </cfRule>
    <cfRule type="cellIs" dxfId="1711" priority="1953" operator="equal">
      <formula>"Moderado"</formula>
    </cfRule>
    <cfRule type="cellIs" dxfId="1710" priority="1954" operator="equal">
      <formula>"Menor"</formula>
    </cfRule>
    <cfRule type="cellIs" dxfId="1709" priority="1955" operator="equal">
      <formula>"Leve"</formula>
    </cfRule>
  </conditionalFormatting>
  <conditionalFormatting sqref="AF101">
    <cfRule type="cellIs" dxfId="1708" priority="1947" operator="equal">
      <formula>"Extremo"</formula>
    </cfRule>
    <cfRule type="cellIs" dxfId="1707" priority="1948" operator="equal">
      <formula>"Alto"</formula>
    </cfRule>
    <cfRule type="cellIs" dxfId="1706" priority="1949" operator="equal">
      <formula>"Moderado"</formula>
    </cfRule>
    <cfRule type="cellIs" dxfId="1705" priority="1950" operator="equal">
      <formula>"Bajo"</formula>
    </cfRule>
  </conditionalFormatting>
  <conditionalFormatting sqref="AB102">
    <cfRule type="cellIs" dxfId="1704" priority="1942" operator="equal">
      <formula>"Muy Alta"</formula>
    </cfRule>
    <cfRule type="cellIs" dxfId="1703" priority="1943" operator="equal">
      <formula>"Alta"</formula>
    </cfRule>
    <cfRule type="cellIs" dxfId="1702" priority="1944" operator="equal">
      <formula>"Media"</formula>
    </cfRule>
    <cfRule type="cellIs" dxfId="1701" priority="1945" operator="equal">
      <formula>"Baja"</formula>
    </cfRule>
    <cfRule type="cellIs" dxfId="1700" priority="1946" operator="equal">
      <formula>"Muy Baja"</formula>
    </cfRule>
  </conditionalFormatting>
  <conditionalFormatting sqref="AD102">
    <cfRule type="cellIs" dxfId="1699" priority="1937" operator="equal">
      <formula>"Catastrófico"</formula>
    </cfRule>
    <cfRule type="cellIs" dxfId="1698" priority="1938" operator="equal">
      <formula>"Mayor"</formula>
    </cfRule>
    <cfRule type="cellIs" dxfId="1697" priority="1939" operator="equal">
      <formula>"Moderado"</formula>
    </cfRule>
    <cfRule type="cellIs" dxfId="1696" priority="1940" operator="equal">
      <formula>"Menor"</formula>
    </cfRule>
    <cfRule type="cellIs" dxfId="1695" priority="1941" operator="equal">
      <formula>"Leve"</formula>
    </cfRule>
  </conditionalFormatting>
  <conditionalFormatting sqref="AF102">
    <cfRule type="cellIs" dxfId="1694" priority="1933" operator="equal">
      <formula>"Extremo"</formula>
    </cfRule>
    <cfRule type="cellIs" dxfId="1693" priority="1934" operator="equal">
      <formula>"Alto"</formula>
    </cfRule>
    <cfRule type="cellIs" dxfId="1692" priority="1935" operator="equal">
      <formula>"Moderado"</formula>
    </cfRule>
    <cfRule type="cellIs" dxfId="1691" priority="1936" operator="equal">
      <formula>"Bajo"</formula>
    </cfRule>
  </conditionalFormatting>
  <conditionalFormatting sqref="AB104">
    <cfRule type="cellIs" dxfId="1690" priority="1928" operator="equal">
      <formula>"Muy Alta"</formula>
    </cfRule>
    <cfRule type="cellIs" dxfId="1689" priority="1929" operator="equal">
      <formula>"Alta"</formula>
    </cfRule>
    <cfRule type="cellIs" dxfId="1688" priority="1930" operator="equal">
      <formula>"Media"</formula>
    </cfRule>
    <cfRule type="cellIs" dxfId="1687" priority="1931" operator="equal">
      <formula>"Baja"</formula>
    </cfRule>
    <cfRule type="cellIs" dxfId="1686" priority="1932" operator="equal">
      <formula>"Muy Baja"</formula>
    </cfRule>
  </conditionalFormatting>
  <conditionalFormatting sqref="AD104">
    <cfRule type="cellIs" dxfId="1685" priority="1923" operator="equal">
      <formula>"Catastrófico"</formula>
    </cfRule>
    <cfRule type="cellIs" dxfId="1684" priority="1924" operator="equal">
      <formula>"Mayor"</formula>
    </cfRule>
    <cfRule type="cellIs" dxfId="1683" priority="1925" operator="equal">
      <formula>"Moderado"</formula>
    </cfRule>
    <cfRule type="cellIs" dxfId="1682" priority="1926" operator="equal">
      <formula>"Menor"</formula>
    </cfRule>
    <cfRule type="cellIs" dxfId="1681" priority="1927" operator="equal">
      <formula>"Leve"</formula>
    </cfRule>
  </conditionalFormatting>
  <conditionalFormatting sqref="AF104">
    <cfRule type="cellIs" dxfId="1680" priority="1919" operator="equal">
      <formula>"Extremo"</formula>
    </cfRule>
    <cfRule type="cellIs" dxfId="1679" priority="1920" operator="equal">
      <formula>"Alto"</formula>
    </cfRule>
    <cfRule type="cellIs" dxfId="1678" priority="1921" operator="equal">
      <formula>"Moderado"</formula>
    </cfRule>
    <cfRule type="cellIs" dxfId="1677" priority="1922" operator="equal">
      <formula>"Bajo"</formula>
    </cfRule>
  </conditionalFormatting>
  <conditionalFormatting sqref="AB105">
    <cfRule type="cellIs" dxfId="1676" priority="1914" operator="equal">
      <formula>"Muy Alta"</formula>
    </cfRule>
    <cfRule type="cellIs" dxfId="1675" priority="1915" operator="equal">
      <formula>"Alta"</formula>
    </cfRule>
    <cfRule type="cellIs" dxfId="1674" priority="1916" operator="equal">
      <formula>"Media"</formula>
    </cfRule>
    <cfRule type="cellIs" dxfId="1673" priority="1917" operator="equal">
      <formula>"Baja"</formula>
    </cfRule>
    <cfRule type="cellIs" dxfId="1672" priority="1918" operator="equal">
      <formula>"Muy Baja"</formula>
    </cfRule>
  </conditionalFormatting>
  <conditionalFormatting sqref="AD105">
    <cfRule type="cellIs" dxfId="1671" priority="1909" operator="equal">
      <formula>"Catastrófico"</formula>
    </cfRule>
    <cfRule type="cellIs" dxfId="1670" priority="1910" operator="equal">
      <formula>"Mayor"</formula>
    </cfRule>
    <cfRule type="cellIs" dxfId="1669" priority="1911" operator="equal">
      <formula>"Moderado"</formula>
    </cfRule>
    <cfRule type="cellIs" dxfId="1668" priority="1912" operator="equal">
      <formula>"Menor"</formula>
    </cfRule>
    <cfRule type="cellIs" dxfId="1667" priority="1913" operator="equal">
      <formula>"Leve"</formula>
    </cfRule>
  </conditionalFormatting>
  <conditionalFormatting sqref="AF105">
    <cfRule type="cellIs" dxfId="1666" priority="1905" operator="equal">
      <formula>"Extremo"</formula>
    </cfRule>
    <cfRule type="cellIs" dxfId="1665" priority="1906" operator="equal">
      <formula>"Alto"</formula>
    </cfRule>
    <cfRule type="cellIs" dxfId="1664" priority="1907" operator="equal">
      <formula>"Moderado"</formula>
    </cfRule>
    <cfRule type="cellIs" dxfId="1663" priority="1908" operator="equal">
      <formula>"Bajo"</formula>
    </cfRule>
  </conditionalFormatting>
  <conditionalFormatting sqref="AB121">
    <cfRule type="cellIs" dxfId="1662" priority="1900" operator="equal">
      <formula>"Muy Alta"</formula>
    </cfRule>
    <cfRule type="cellIs" dxfId="1661" priority="1901" operator="equal">
      <formula>"Alta"</formula>
    </cfRule>
    <cfRule type="cellIs" dxfId="1660" priority="1902" operator="equal">
      <formula>"Media"</formula>
    </cfRule>
    <cfRule type="cellIs" dxfId="1659" priority="1903" operator="equal">
      <formula>"Baja"</formula>
    </cfRule>
    <cfRule type="cellIs" dxfId="1658" priority="1904" operator="equal">
      <formula>"Muy Baja"</formula>
    </cfRule>
  </conditionalFormatting>
  <conditionalFormatting sqref="AD121">
    <cfRule type="cellIs" dxfId="1657" priority="1895" operator="equal">
      <formula>"Catastrófico"</formula>
    </cfRule>
    <cfRule type="cellIs" dxfId="1656" priority="1896" operator="equal">
      <formula>"Mayor"</formula>
    </cfRule>
    <cfRule type="cellIs" dxfId="1655" priority="1897" operator="equal">
      <formula>"Moderado"</formula>
    </cfRule>
    <cfRule type="cellIs" dxfId="1654" priority="1898" operator="equal">
      <formula>"Menor"</formula>
    </cfRule>
    <cfRule type="cellIs" dxfId="1653" priority="1899" operator="equal">
      <formula>"Leve"</formula>
    </cfRule>
  </conditionalFormatting>
  <conditionalFormatting sqref="AF121">
    <cfRule type="cellIs" dxfId="1652" priority="1891" operator="equal">
      <formula>"Extremo"</formula>
    </cfRule>
    <cfRule type="cellIs" dxfId="1651" priority="1892" operator="equal">
      <formula>"Alto"</formula>
    </cfRule>
    <cfRule type="cellIs" dxfId="1650" priority="1893" operator="equal">
      <formula>"Moderado"</formula>
    </cfRule>
    <cfRule type="cellIs" dxfId="1649" priority="1894" operator="equal">
      <formula>"Bajo"</formula>
    </cfRule>
  </conditionalFormatting>
  <conditionalFormatting sqref="AB122">
    <cfRule type="cellIs" dxfId="1648" priority="1886" operator="equal">
      <formula>"Muy Alta"</formula>
    </cfRule>
    <cfRule type="cellIs" dxfId="1647" priority="1887" operator="equal">
      <formula>"Alta"</formula>
    </cfRule>
    <cfRule type="cellIs" dxfId="1646" priority="1888" operator="equal">
      <formula>"Media"</formula>
    </cfRule>
    <cfRule type="cellIs" dxfId="1645" priority="1889" operator="equal">
      <formula>"Baja"</formula>
    </cfRule>
    <cfRule type="cellIs" dxfId="1644" priority="1890" operator="equal">
      <formula>"Muy Baja"</formula>
    </cfRule>
  </conditionalFormatting>
  <conditionalFormatting sqref="AD122">
    <cfRule type="cellIs" dxfId="1643" priority="1881" operator="equal">
      <formula>"Catastrófico"</formula>
    </cfRule>
    <cfRule type="cellIs" dxfId="1642" priority="1882" operator="equal">
      <formula>"Mayor"</formula>
    </cfRule>
    <cfRule type="cellIs" dxfId="1641" priority="1883" operator="equal">
      <formula>"Moderado"</formula>
    </cfRule>
    <cfRule type="cellIs" dxfId="1640" priority="1884" operator="equal">
      <formula>"Menor"</formula>
    </cfRule>
    <cfRule type="cellIs" dxfId="1639" priority="1885" operator="equal">
      <formula>"Leve"</formula>
    </cfRule>
  </conditionalFormatting>
  <conditionalFormatting sqref="AF122">
    <cfRule type="cellIs" dxfId="1638" priority="1877" operator="equal">
      <formula>"Extremo"</formula>
    </cfRule>
    <cfRule type="cellIs" dxfId="1637" priority="1878" operator="equal">
      <formula>"Alto"</formula>
    </cfRule>
    <cfRule type="cellIs" dxfId="1636" priority="1879" operator="equal">
      <formula>"Moderado"</formula>
    </cfRule>
    <cfRule type="cellIs" dxfId="1635" priority="1880" operator="equal">
      <formula>"Bajo"</formula>
    </cfRule>
  </conditionalFormatting>
  <conditionalFormatting sqref="AB123">
    <cfRule type="cellIs" dxfId="1634" priority="1872" operator="equal">
      <formula>"Muy Alta"</formula>
    </cfRule>
    <cfRule type="cellIs" dxfId="1633" priority="1873" operator="equal">
      <formula>"Alta"</formula>
    </cfRule>
    <cfRule type="cellIs" dxfId="1632" priority="1874" operator="equal">
      <formula>"Media"</formula>
    </cfRule>
    <cfRule type="cellIs" dxfId="1631" priority="1875" operator="equal">
      <formula>"Baja"</formula>
    </cfRule>
    <cfRule type="cellIs" dxfId="1630" priority="1876" operator="equal">
      <formula>"Muy Baja"</formula>
    </cfRule>
  </conditionalFormatting>
  <conditionalFormatting sqref="AD123">
    <cfRule type="cellIs" dxfId="1629" priority="1867" operator="equal">
      <formula>"Catastrófico"</formula>
    </cfRule>
    <cfRule type="cellIs" dxfId="1628" priority="1868" operator="equal">
      <formula>"Mayor"</formula>
    </cfRule>
    <cfRule type="cellIs" dxfId="1627" priority="1869" operator="equal">
      <formula>"Moderado"</formula>
    </cfRule>
    <cfRule type="cellIs" dxfId="1626" priority="1870" operator="equal">
      <formula>"Menor"</formula>
    </cfRule>
    <cfRule type="cellIs" dxfId="1625" priority="1871" operator="equal">
      <formula>"Leve"</formula>
    </cfRule>
  </conditionalFormatting>
  <conditionalFormatting sqref="AF123">
    <cfRule type="cellIs" dxfId="1624" priority="1863" operator="equal">
      <formula>"Extremo"</formula>
    </cfRule>
    <cfRule type="cellIs" dxfId="1623" priority="1864" operator="equal">
      <formula>"Alto"</formula>
    </cfRule>
    <cfRule type="cellIs" dxfId="1622" priority="1865" operator="equal">
      <formula>"Moderado"</formula>
    </cfRule>
    <cfRule type="cellIs" dxfId="1621" priority="1866" operator="equal">
      <formula>"Bajo"</formula>
    </cfRule>
  </conditionalFormatting>
  <conditionalFormatting sqref="K10">
    <cfRule type="cellIs" dxfId="1620" priority="1858" operator="equal">
      <formula>"Muy Alta"</formula>
    </cfRule>
    <cfRule type="cellIs" dxfId="1619" priority="1859" operator="equal">
      <formula>"Alta"</formula>
    </cfRule>
    <cfRule type="cellIs" dxfId="1618" priority="1860" operator="equal">
      <formula>"Media"</formula>
    </cfRule>
    <cfRule type="cellIs" dxfId="1617" priority="1861" operator="equal">
      <formula>"Baja"</formula>
    </cfRule>
    <cfRule type="cellIs" dxfId="1616" priority="1862" operator="equal">
      <formula>"Muy Baja"</formula>
    </cfRule>
  </conditionalFormatting>
  <conditionalFormatting sqref="O10">
    <cfRule type="cellIs" dxfId="1615" priority="1853" operator="equal">
      <formula>"Catastrófico"</formula>
    </cfRule>
    <cfRule type="cellIs" dxfId="1614" priority="1854" operator="equal">
      <formula>"Mayor"</formula>
    </cfRule>
    <cfRule type="cellIs" dxfId="1613" priority="1855" operator="equal">
      <formula>"Moderado"</formula>
    </cfRule>
    <cfRule type="cellIs" dxfId="1612" priority="1856" operator="equal">
      <formula>"Menor"</formula>
    </cfRule>
    <cfRule type="cellIs" dxfId="1611" priority="1857" operator="equal">
      <formula>"Leve"</formula>
    </cfRule>
  </conditionalFormatting>
  <conditionalFormatting sqref="Q10">
    <cfRule type="cellIs" dxfId="1610" priority="1849" operator="equal">
      <formula>"Extremo"</formula>
    </cfRule>
    <cfRule type="cellIs" dxfId="1609" priority="1850" operator="equal">
      <formula>"Alto"</formula>
    </cfRule>
    <cfRule type="cellIs" dxfId="1608" priority="1851" operator="equal">
      <formula>"Moderado"</formula>
    </cfRule>
    <cfRule type="cellIs" dxfId="1607" priority="1852" operator="equal">
      <formula>"Bajo"</formula>
    </cfRule>
  </conditionalFormatting>
  <conditionalFormatting sqref="N10:N12">
    <cfRule type="containsText" dxfId="1606" priority="1848" operator="containsText" text="❌">
      <formula>NOT(ISERROR(SEARCH("❌",N10)))</formula>
    </cfRule>
  </conditionalFormatting>
  <conditionalFormatting sqref="K13">
    <cfRule type="cellIs" dxfId="1605" priority="1843" operator="equal">
      <formula>"Muy Alta"</formula>
    </cfRule>
    <cfRule type="cellIs" dxfId="1604" priority="1844" operator="equal">
      <formula>"Alta"</formula>
    </cfRule>
    <cfRule type="cellIs" dxfId="1603" priority="1845" operator="equal">
      <formula>"Media"</formula>
    </cfRule>
    <cfRule type="cellIs" dxfId="1602" priority="1846" operator="equal">
      <formula>"Baja"</formula>
    </cfRule>
    <cfRule type="cellIs" dxfId="1601" priority="1847" operator="equal">
      <formula>"Muy Baja"</formula>
    </cfRule>
  </conditionalFormatting>
  <conditionalFormatting sqref="O13">
    <cfRule type="cellIs" dxfId="1600" priority="1838" operator="equal">
      <formula>"Catastrófico"</formula>
    </cfRule>
    <cfRule type="cellIs" dxfId="1599" priority="1839" operator="equal">
      <formula>"Mayor"</formula>
    </cfRule>
    <cfRule type="cellIs" dxfId="1598" priority="1840" operator="equal">
      <formula>"Moderado"</formula>
    </cfRule>
    <cfRule type="cellIs" dxfId="1597" priority="1841" operator="equal">
      <formula>"Menor"</formula>
    </cfRule>
    <cfRule type="cellIs" dxfId="1596" priority="1842" operator="equal">
      <formula>"Leve"</formula>
    </cfRule>
  </conditionalFormatting>
  <conditionalFormatting sqref="Q13">
    <cfRule type="cellIs" dxfId="1595" priority="1834" operator="equal">
      <formula>"Extremo"</formula>
    </cfRule>
    <cfRule type="cellIs" dxfId="1594" priority="1835" operator="equal">
      <formula>"Alto"</formula>
    </cfRule>
    <cfRule type="cellIs" dxfId="1593" priority="1836" operator="equal">
      <formula>"Moderado"</formula>
    </cfRule>
    <cfRule type="cellIs" dxfId="1592" priority="1837" operator="equal">
      <formula>"Bajo"</formula>
    </cfRule>
  </conditionalFormatting>
  <conditionalFormatting sqref="N13:N15">
    <cfRule type="containsText" dxfId="1591" priority="1833" operator="containsText" text="❌">
      <formula>NOT(ISERROR(SEARCH("❌",N13)))</formula>
    </cfRule>
  </conditionalFormatting>
  <conditionalFormatting sqref="K16">
    <cfRule type="cellIs" dxfId="1575" priority="1798" operator="equal">
      <formula>"Muy Alta"</formula>
    </cfRule>
    <cfRule type="cellIs" dxfId="1574" priority="1799" operator="equal">
      <formula>"Alta"</formula>
    </cfRule>
    <cfRule type="cellIs" dxfId="1573" priority="1800" operator="equal">
      <formula>"Media"</formula>
    </cfRule>
    <cfRule type="cellIs" dxfId="1572" priority="1801" operator="equal">
      <formula>"Baja"</formula>
    </cfRule>
    <cfRule type="cellIs" dxfId="1571" priority="1802" operator="equal">
      <formula>"Muy Baja"</formula>
    </cfRule>
  </conditionalFormatting>
  <conditionalFormatting sqref="O16">
    <cfRule type="cellIs" dxfId="1570" priority="1793" operator="equal">
      <formula>"Catastrófico"</formula>
    </cfRule>
    <cfRule type="cellIs" dxfId="1569" priority="1794" operator="equal">
      <formula>"Mayor"</formula>
    </cfRule>
    <cfRule type="cellIs" dxfId="1568" priority="1795" operator="equal">
      <formula>"Moderado"</formula>
    </cfRule>
    <cfRule type="cellIs" dxfId="1567" priority="1796" operator="equal">
      <formula>"Menor"</formula>
    </cfRule>
    <cfRule type="cellIs" dxfId="1566" priority="1797" operator="equal">
      <formula>"Leve"</formula>
    </cfRule>
  </conditionalFormatting>
  <conditionalFormatting sqref="Q16">
    <cfRule type="cellIs" dxfId="1565" priority="1789" operator="equal">
      <formula>"Extremo"</formula>
    </cfRule>
    <cfRule type="cellIs" dxfId="1564" priority="1790" operator="equal">
      <formula>"Alto"</formula>
    </cfRule>
    <cfRule type="cellIs" dxfId="1563" priority="1791" operator="equal">
      <formula>"Moderado"</formula>
    </cfRule>
    <cfRule type="cellIs" dxfId="1562" priority="1792" operator="equal">
      <formula>"Bajo"</formula>
    </cfRule>
  </conditionalFormatting>
  <conditionalFormatting sqref="N16:N18">
    <cfRule type="containsText" dxfId="1561" priority="1788" operator="containsText" text="❌">
      <formula>NOT(ISERROR(SEARCH("❌",N16)))</formula>
    </cfRule>
  </conditionalFormatting>
  <conditionalFormatting sqref="K19">
    <cfRule type="cellIs" dxfId="1560" priority="1783" operator="equal">
      <formula>"Muy Alta"</formula>
    </cfRule>
    <cfRule type="cellIs" dxfId="1559" priority="1784" operator="equal">
      <formula>"Alta"</formula>
    </cfRule>
    <cfRule type="cellIs" dxfId="1558" priority="1785" operator="equal">
      <formula>"Media"</formula>
    </cfRule>
    <cfRule type="cellIs" dxfId="1557" priority="1786" operator="equal">
      <formula>"Baja"</formula>
    </cfRule>
    <cfRule type="cellIs" dxfId="1556" priority="1787" operator="equal">
      <formula>"Muy Baja"</formula>
    </cfRule>
  </conditionalFormatting>
  <conditionalFormatting sqref="O19">
    <cfRule type="cellIs" dxfId="1555" priority="1778" operator="equal">
      <formula>"Catastrófico"</formula>
    </cfRule>
    <cfRule type="cellIs" dxfId="1554" priority="1779" operator="equal">
      <formula>"Mayor"</formula>
    </cfRule>
    <cfRule type="cellIs" dxfId="1553" priority="1780" operator="equal">
      <formula>"Moderado"</formula>
    </cfRule>
    <cfRule type="cellIs" dxfId="1552" priority="1781" operator="equal">
      <formula>"Menor"</formula>
    </cfRule>
    <cfRule type="cellIs" dxfId="1551" priority="1782" operator="equal">
      <formula>"Leve"</formula>
    </cfRule>
  </conditionalFormatting>
  <conditionalFormatting sqref="Q19">
    <cfRule type="cellIs" dxfId="1550" priority="1774" operator="equal">
      <formula>"Extremo"</formula>
    </cfRule>
    <cfRule type="cellIs" dxfId="1549" priority="1775" operator="equal">
      <formula>"Alto"</formula>
    </cfRule>
    <cfRule type="cellIs" dxfId="1548" priority="1776" operator="equal">
      <formula>"Moderado"</formula>
    </cfRule>
    <cfRule type="cellIs" dxfId="1547" priority="1777" operator="equal">
      <formula>"Bajo"</formula>
    </cfRule>
  </conditionalFormatting>
  <conditionalFormatting sqref="N19:N21">
    <cfRule type="containsText" dxfId="1546" priority="1773" operator="containsText" text="❌">
      <formula>NOT(ISERROR(SEARCH("❌",N19)))</formula>
    </cfRule>
  </conditionalFormatting>
  <conditionalFormatting sqref="K22">
    <cfRule type="cellIs" dxfId="1545" priority="1768" operator="equal">
      <formula>"Muy Alta"</formula>
    </cfRule>
    <cfRule type="cellIs" dxfId="1544" priority="1769" operator="equal">
      <formula>"Alta"</formula>
    </cfRule>
    <cfRule type="cellIs" dxfId="1543" priority="1770" operator="equal">
      <formula>"Media"</formula>
    </cfRule>
    <cfRule type="cellIs" dxfId="1542" priority="1771" operator="equal">
      <formula>"Baja"</formula>
    </cfRule>
    <cfRule type="cellIs" dxfId="1541" priority="1772" operator="equal">
      <formula>"Muy Baja"</formula>
    </cfRule>
  </conditionalFormatting>
  <conditionalFormatting sqref="O22">
    <cfRule type="cellIs" dxfId="1540" priority="1763" operator="equal">
      <formula>"Catastrófico"</formula>
    </cfRule>
    <cfRule type="cellIs" dxfId="1539" priority="1764" operator="equal">
      <formula>"Mayor"</formula>
    </cfRule>
    <cfRule type="cellIs" dxfId="1538" priority="1765" operator="equal">
      <formula>"Moderado"</formula>
    </cfRule>
    <cfRule type="cellIs" dxfId="1537" priority="1766" operator="equal">
      <formula>"Menor"</formula>
    </cfRule>
    <cfRule type="cellIs" dxfId="1536" priority="1767" operator="equal">
      <formula>"Leve"</formula>
    </cfRule>
  </conditionalFormatting>
  <conditionalFormatting sqref="Q22">
    <cfRule type="cellIs" dxfId="1535" priority="1759" operator="equal">
      <formula>"Extremo"</formula>
    </cfRule>
    <cfRule type="cellIs" dxfId="1534" priority="1760" operator="equal">
      <formula>"Alto"</formula>
    </cfRule>
    <cfRule type="cellIs" dxfId="1533" priority="1761" operator="equal">
      <formula>"Moderado"</formula>
    </cfRule>
    <cfRule type="cellIs" dxfId="1532" priority="1762" operator="equal">
      <formula>"Bajo"</formula>
    </cfRule>
  </conditionalFormatting>
  <conditionalFormatting sqref="N22:N24">
    <cfRule type="containsText" dxfId="1531" priority="1758" operator="containsText" text="❌">
      <formula>NOT(ISERROR(SEARCH("❌",N22)))</formula>
    </cfRule>
  </conditionalFormatting>
  <conditionalFormatting sqref="K25">
    <cfRule type="cellIs" dxfId="1530" priority="1753" operator="equal">
      <formula>"Muy Alta"</formula>
    </cfRule>
    <cfRule type="cellIs" dxfId="1529" priority="1754" operator="equal">
      <formula>"Alta"</formula>
    </cfRule>
    <cfRule type="cellIs" dxfId="1528" priority="1755" operator="equal">
      <formula>"Media"</formula>
    </cfRule>
    <cfRule type="cellIs" dxfId="1527" priority="1756" operator="equal">
      <formula>"Baja"</formula>
    </cfRule>
    <cfRule type="cellIs" dxfId="1526" priority="1757" operator="equal">
      <formula>"Muy Baja"</formula>
    </cfRule>
  </conditionalFormatting>
  <conditionalFormatting sqref="O25">
    <cfRule type="cellIs" dxfId="1525" priority="1748" operator="equal">
      <formula>"Catastrófico"</formula>
    </cfRule>
    <cfRule type="cellIs" dxfId="1524" priority="1749" operator="equal">
      <formula>"Mayor"</formula>
    </cfRule>
    <cfRule type="cellIs" dxfId="1523" priority="1750" operator="equal">
      <formula>"Moderado"</formula>
    </cfRule>
    <cfRule type="cellIs" dxfId="1522" priority="1751" operator="equal">
      <formula>"Menor"</formula>
    </cfRule>
    <cfRule type="cellIs" dxfId="1521" priority="1752" operator="equal">
      <formula>"Leve"</formula>
    </cfRule>
  </conditionalFormatting>
  <conditionalFormatting sqref="Q25">
    <cfRule type="cellIs" dxfId="1520" priority="1744" operator="equal">
      <formula>"Extremo"</formula>
    </cfRule>
    <cfRule type="cellIs" dxfId="1519" priority="1745" operator="equal">
      <formula>"Alto"</formula>
    </cfRule>
    <cfRule type="cellIs" dxfId="1518" priority="1746" operator="equal">
      <formula>"Moderado"</formula>
    </cfRule>
    <cfRule type="cellIs" dxfId="1517" priority="1747" operator="equal">
      <formula>"Bajo"</formula>
    </cfRule>
  </conditionalFormatting>
  <conditionalFormatting sqref="N25:N27">
    <cfRule type="containsText" dxfId="1516" priority="1743" operator="containsText" text="❌">
      <formula>NOT(ISERROR(SEARCH("❌",N25)))</formula>
    </cfRule>
  </conditionalFormatting>
  <conditionalFormatting sqref="K28">
    <cfRule type="cellIs" dxfId="1515" priority="1738" operator="equal">
      <formula>"Muy Alta"</formula>
    </cfRule>
    <cfRule type="cellIs" dxfId="1514" priority="1739" operator="equal">
      <formula>"Alta"</formula>
    </cfRule>
    <cfRule type="cellIs" dxfId="1513" priority="1740" operator="equal">
      <formula>"Media"</formula>
    </cfRule>
    <cfRule type="cellIs" dxfId="1512" priority="1741" operator="equal">
      <formula>"Baja"</formula>
    </cfRule>
    <cfRule type="cellIs" dxfId="1511" priority="1742" operator="equal">
      <formula>"Muy Baja"</formula>
    </cfRule>
  </conditionalFormatting>
  <conditionalFormatting sqref="O28">
    <cfRule type="cellIs" dxfId="1510" priority="1733" operator="equal">
      <formula>"Catastrófico"</formula>
    </cfRule>
    <cfRule type="cellIs" dxfId="1509" priority="1734" operator="equal">
      <formula>"Mayor"</formula>
    </cfRule>
    <cfRule type="cellIs" dxfId="1508" priority="1735" operator="equal">
      <formula>"Moderado"</formula>
    </cfRule>
    <cfRule type="cellIs" dxfId="1507" priority="1736" operator="equal">
      <formula>"Menor"</formula>
    </cfRule>
    <cfRule type="cellIs" dxfId="1506" priority="1737" operator="equal">
      <formula>"Leve"</formula>
    </cfRule>
  </conditionalFormatting>
  <conditionalFormatting sqref="Q28">
    <cfRule type="cellIs" dxfId="1505" priority="1729" operator="equal">
      <formula>"Extremo"</formula>
    </cfRule>
    <cfRule type="cellIs" dxfId="1504" priority="1730" operator="equal">
      <formula>"Alto"</formula>
    </cfRule>
    <cfRule type="cellIs" dxfId="1503" priority="1731" operator="equal">
      <formula>"Moderado"</formula>
    </cfRule>
    <cfRule type="cellIs" dxfId="1502" priority="1732" operator="equal">
      <formula>"Bajo"</formula>
    </cfRule>
  </conditionalFormatting>
  <conditionalFormatting sqref="N28:N30">
    <cfRule type="containsText" dxfId="1501" priority="1728" operator="containsText" text="❌">
      <formula>NOT(ISERROR(SEARCH("❌",N28)))</formula>
    </cfRule>
  </conditionalFormatting>
  <conditionalFormatting sqref="K31">
    <cfRule type="cellIs" dxfId="1500" priority="1723" operator="equal">
      <formula>"Muy Alta"</formula>
    </cfRule>
    <cfRule type="cellIs" dxfId="1499" priority="1724" operator="equal">
      <formula>"Alta"</formula>
    </cfRule>
    <cfRule type="cellIs" dxfId="1498" priority="1725" operator="equal">
      <formula>"Media"</formula>
    </cfRule>
    <cfRule type="cellIs" dxfId="1497" priority="1726" operator="equal">
      <formula>"Baja"</formula>
    </cfRule>
    <cfRule type="cellIs" dxfId="1496" priority="1727" operator="equal">
      <formula>"Muy Baja"</formula>
    </cfRule>
  </conditionalFormatting>
  <conditionalFormatting sqref="O31">
    <cfRule type="cellIs" dxfId="1495" priority="1718" operator="equal">
      <formula>"Catastrófico"</formula>
    </cfRule>
    <cfRule type="cellIs" dxfId="1494" priority="1719" operator="equal">
      <formula>"Mayor"</formula>
    </cfRule>
    <cfRule type="cellIs" dxfId="1493" priority="1720" operator="equal">
      <formula>"Moderado"</formula>
    </cfRule>
    <cfRule type="cellIs" dxfId="1492" priority="1721" operator="equal">
      <formula>"Menor"</formula>
    </cfRule>
    <cfRule type="cellIs" dxfId="1491" priority="1722" operator="equal">
      <formula>"Leve"</formula>
    </cfRule>
  </conditionalFormatting>
  <conditionalFormatting sqref="Q31">
    <cfRule type="cellIs" dxfId="1490" priority="1714" operator="equal">
      <formula>"Extremo"</formula>
    </cfRule>
    <cfRule type="cellIs" dxfId="1489" priority="1715" operator="equal">
      <formula>"Alto"</formula>
    </cfRule>
    <cfRule type="cellIs" dxfId="1488" priority="1716" operator="equal">
      <formula>"Moderado"</formula>
    </cfRule>
    <cfRule type="cellIs" dxfId="1487" priority="1717" operator="equal">
      <formula>"Bajo"</formula>
    </cfRule>
  </conditionalFormatting>
  <conditionalFormatting sqref="N31:N33">
    <cfRule type="containsText" dxfId="1486" priority="1713" operator="containsText" text="❌">
      <formula>NOT(ISERROR(SEARCH("❌",N31)))</formula>
    </cfRule>
  </conditionalFormatting>
  <conditionalFormatting sqref="K34">
    <cfRule type="cellIs" dxfId="1485" priority="1708" operator="equal">
      <formula>"Muy Alta"</formula>
    </cfRule>
    <cfRule type="cellIs" dxfId="1484" priority="1709" operator="equal">
      <formula>"Alta"</formula>
    </cfRule>
    <cfRule type="cellIs" dxfId="1483" priority="1710" operator="equal">
      <formula>"Media"</formula>
    </cfRule>
    <cfRule type="cellIs" dxfId="1482" priority="1711" operator="equal">
      <formula>"Baja"</formula>
    </cfRule>
    <cfRule type="cellIs" dxfId="1481" priority="1712" operator="equal">
      <formula>"Muy Baja"</formula>
    </cfRule>
  </conditionalFormatting>
  <conditionalFormatting sqref="O34">
    <cfRule type="cellIs" dxfId="1480" priority="1703" operator="equal">
      <formula>"Catastrófico"</formula>
    </cfRule>
    <cfRule type="cellIs" dxfId="1479" priority="1704" operator="equal">
      <formula>"Mayor"</formula>
    </cfRule>
    <cfRule type="cellIs" dxfId="1478" priority="1705" operator="equal">
      <formula>"Moderado"</formula>
    </cfRule>
    <cfRule type="cellIs" dxfId="1477" priority="1706" operator="equal">
      <formula>"Menor"</formula>
    </cfRule>
    <cfRule type="cellIs" dxfId="1476" priority="1707" operator="equal">
      <formula>"Leve"</formula>
    </cfRule>
  </conditionalFormatting>
  <conditionalFormatting sqref="Q34">
    <cfRule type="cellIs" dxfId="1475" priority="1699" operator="equal">
      <formula>"Extremo"</formula>
    </cfRule>
    <cfRule type="cellIs" dxfId="1474" priority="1700" operator="equal">
      <formula>"Alto"</formula>
    </cfRule>
    <cfRule type="cellIs" dxfId="1473" priority="1701" operator="equal">
      <formula>"Moderado"</formula>
    </cfRule>
    <cfRule type="cellIs" dxfId="1472" priority="1702" operator="equal">
      <formula>"Bajo"</formula>
    </cfRule>
  </conditionalFormatting>
  <conditionalFormatting sqref="N34:N36">
    <cfRule type="containsText" dxfId="1471" priority="1698" operator="containsText" text="❌">
      <formula>NOT(ISERROR(SEARCH("❌",N34)))</formula>
    </cfRule>
  </conditionalFormatting>
  <conditionalFormatting sqref="K37">
    <cfRule type="cellIs" dxfId="1470" priority="1693" operator="equal">
      <formula>"Muy Alta"</formula>
    </cfRule>
    <cfRule type="cellIs" dxfId="1469" priority="1694" operator="equal">
      <formula>"Alta"</formula>
    </cfRule>
    <cfRule type="cellIs" dxfId="1468" priority="1695" operator="equal">
      <formula>"Media"</formula>
    </cfRule>
    <cfRule type="cellIs" dxfId="1467" priority="1696" operator="equal">
      <formula>"Baja"</formula>
    </cfRule>
    <cfRule type="cellIs" dxfId="1466" priority="1697" operator="equal">
      <formula>"Muy Baja"</formula>
    </cfRule>
  </conditionalFormatting>
  <conditionalFormatting sqref="O37">
    <cfRule type="cellIs" dxfId="1465" priority="1688" operator="equal">
      <formula>"Catastrófico"</formula>
    </cfRule>
    <cfRule type="cellIs" dxfId="1464" priority="1689" operator="equal">
      <formula>"Mayor"</formula>
    </cfRule>
    <cfRule type="cellIs" dxfId="1463" priority="1690" operator="equal">
      <formula>"Moderado"</formula>
    </cfRule>
    <cfRule type="cellIs" dxfId="1462" priority="1691" operator="equal">
      <formula>"Menor"</formula>
    </cfRule>
    <cfRule type="cellIs" dxfId="1461" priority="1692" operator="equal">
      <formula>"Leve"</formula>
    </cfRule>
  </conditionalFormatting>
  <conditionalFormatting sqref="Q37">
    <cfRule type="cellIs" dxfId="1460" priority="1684" operator="equal">
      <formula>"Extremo"</formula>
    </cfRule>
    <cfRule type="cellIs" dxfId="1459" priority="1685" operator="equal">
      <formula>"Alto"</formula>
    </cfRule>
    <cfRule type="cellIs" dxfId="1458" priority="1686" operator="equal">
      <formula>"Moderado"</formula>
    </cfRule>
    <cfRule type="cellIs" dxfId="1457" priority="1687" operator="equal">
      <formula>"Bajo"</formula>
    </cfRule>
  </conditionalFormatting>
  <conditionalFormatting sqref="N37:N39">
    <cfRule type="containsText" dxfId="1456" priority="1683" operator="containsText" text="❌">
      <formula>NOT(ISERROR(SEARCH("❌",N37)))</formula>
    </cfRule>
  </conditionalFormatting>
  <conditionalFormatting sqref="K40">
    <cfRule type="cellIs" dxfId="1455" priority="1663" operator="equal">
      <formula>"Muy Alta"</formula>
    </cfRule>
    <cfRule type="cellIs" dxfId="1454" priority="1664" operator="equal">
      <formula>"Alta"</formula>
    </cfRule>
    <cfRule type="cellIs" dxfId="1453" priority="1665" operator="equal">
      <formula>"Media"</formula>
    </cfRule>
    <cfRule type="cellIs" dxfId="1452" priority="1666" operator="equal">
      <formula>"Baja"</formula>
    </cfRule>
    <cfRule type="cellIs" dxfId="1451" priority="1667" operator="equal">
      <formula>"Muy Baja"</formula>
    </cfRule>
  </conditionalFormatting>
  <conditionalFormatting sqref="O40">
    <cfRule type="cellIs" dxfId="1450" priority="1658" operator="equal">
      <formula>"Catastrófico"</formula>
    </cfRule>
    <cfRule type="cellIs" dxfId="1449" priority="1659" operator="equal">
      <formula>"Mayor"</formula>
    </cfRule>
    <cfRule type="cellIs" dxfId="1448" priority="1660" operator="equal">
      <formula>"Moderado"</formula>
    </cfRule>
    <cfRule type="cellIs" dxfId="1447" priority="1661" operator="equal">
      <formula>"Menor"</formula>
    </cfRule>
    <cfRule type="cellIs" dxfId="1446" priority="1662" operator="equal">
      <formula>"Leve"</formula>
    </cfRule>
  </conditionalFormatting>
  <conditionalFormatting sqref="Q40">
    <cfRule type="cellIs" dxfId="1445" priority="1654" operator="equal">
      <formula>"Extremo"</formula>
    </cfRule>
    <cfRule type="cellIs" dxfId="1444" priority="1655" operator="equal">
      <formula>"Alto"</formula>
    </cfRule>
    <cfRule type="cellIs" dxfId="1443" priority="1656" operator="equal">
      <formula>"Moderado"</formula>
    </cfRule>
    <cfRule type="cellIs" dxfId="1442" priority="1657" operator="equal">
      <formula>"Bajo"</formula>
    </cfRule>
  </conditionalFormatting>
  <conditionalFormatting sqref="N40:N42">
    <cfRule type="containsText" dxfId="1441" priority="1653" operator="containsText" text="❌">
      <formula>NOT(ISERROR(SEARCH("❌",N40)))</formula>
    </cfRule>
  </conditionalFormatting>
  <conditionalFormatting sqref="K43">
    <cfRule type="cellIs" dxfId="1440" priority="1648" operator="equal">
      <formula>"Muy Alta"</formula>
    </cfRule>
    <cfRule type="cellIs" dxfId="1439" priority="1649" operator="equal">
      <formula>"Alta"</formula>
    </cfRule>
    <cfRule type="cellIs" dxfId="1438" priority="1650" operator="equal">
      <formula>"Media"</formula>
    </cfRule>
    <cfRule type="cellIs" dxfId="1437" priority="1651" operator="equal">
      <formula>"Baja"</formula>
    </cfRule>
    <cfRule type="cellIs" dxfId="1436" priority="1652" operator="equal">
      <formula>"Muy Baja"</formula>
    </cfRule>
  </conditionalFormatting>
  <conditionalFormatting sqref="O43">
    <cfRule type="cellIs" dxfId="1435" priority="1643" operator="equal">
      <formula>"Catastrófico"</formula>
    </cfRule>
    <cfRule type="cellIs" dxfId="1434" priority="1644" operator="equal">
      <formula>"Mayor"</formula>
    </cfRule>
    <cfRule type="cellIs" dxfId="1433" priority="1645" operator="equal">
      <formula>"Moderado"</formula>
    </cfRule>
    <cfRule type="cellIs" dxfId="1432" priority="1646" operator="equal">
      <formula>"Menor"</formula>
    </cfRule>
    <cfRule type="cellIs" dxfId="1431" priority="1647" operator="equal">
      <formula>"Leve"</formula>
    </cfRule>
  </conditionalFormatting>
  <conditionalFormatting sqref="Q43">
    <cfRule type="cellIs" dxfId="1430" priority="1639" operator="equal">
      <formula>"Extremo"</formula>
    </cfRule>
    <cfRule type="cellIs" dxfId="1429" priority="1640" operator="equal">
      <formula>"Alto"</formula>
    </cfRule>
    <cfRule type="cellIs" dxfId="1428" priority="1641" operator="equal">
      <formula>"Moderado"</formula>
    </cfRule>
    <cfRule type="cellIs" dxfId="1427" priority="1642" operator="equal">
      <formula>"Bajo"</formula>
    </cfRule>
  </conditionalFormatting>
  <conditionalFormatting sqref="N43:N45">
    <cfRule type="containsText" dxfId="1426" priority="1638" operator="containsText" text="❌">
      <formula>NOT(ISERROR(SEARCH("❌",N43)))</formula>
    </cfRule>
  </conditionalFormatting>
  <conditionalFormatting sqref="K46">
    <cfRule type="cellIs" dxfId="1425" priority="1633" operator="equal">
      <formula>"Muy Alta"</formula>
    </cfRule>
    <cfRule type="cellIs" dxfId="1424" priority="1634" operator="equal">
      <formula>"Alta"</formula>
    </cfRule>
    <cfRule type="cellIs" dxfId="1423" priority="1635" operator="equal">
      <formula>"Media"</formula>
    </cfRule>
    <cfRule type="cellIs" dxfId="1422" priority="1636" operator="equal">
      <formula>"Baja"</formula>
    </cfRule>
    <cfRule type="cellIs" dxfId="1421" priority="1637" operator="equal">
      <formula>"Muy Baja"</formula>
    </cfRule>
  </conditionalFormatting>
  <conditionalFormatting sqref="O46">
    <cfRule type="cellIs" dxfId="1420" priority="1628" operator="equal">
      <formula>"Catastrófico"</formula>
    </cfRule>
    <cfRule type="cellIs" dxfId="1419" priority="1629" operator="equal">
      <formula>"Mayor"</formula>
    </cfRule>
    <cfRule type="cellIs" dxfId="1418" priority="1630" operator="equal">
      <formula>"Moderado"</formula>
    </cfRule>
    <cfRule type="cellIs" dxfId="1417" priority="1631" operator="equal">
      <formula>"Menor"</formula>
    </cfRule>
    <cfRule type="cellIs" dxfId="1416" priority="1632" operator="equal">
      <formula>"Leve"</formula>
    </cfRule>
  </conditionalFormatting>
  <conditionalFormatting sqref="Q46">
    <cfRule type="cellIs" dxfId="1415" priority="1624" operator="equal">
      <formula>"Extremo"</formula>
    </cfRule>
    <cfRule type="cellIs" dxfId="1414" priority="1625" operator="equal">
      <formula>"Alto"</formula>
    </cfRule>
    <cfRule type="cellIs" dxfId="1413" priority="1626" operator="equal">
      <formula>"Moderado"</formula>
    </cfRule>
    <cfRule type="cellIs" dxfId="1412" priority="1627" operator="equal">
      <formula>"Bajo"</formula>
    </cfRule>
  </conditionalFormatting>
  <conditionalFormatting sqref="N46:N48">
    <cfRule type="containsText" dxfId="1411" priority="1623" operator="containsText" text="❌">
      <formula>NOT(ISERROR(SEARCH("❌",N46)))</formula>
    </cfRule>
  </conditionalFormatting>
  <conditionalFormatting sqref="K49">
    <cfRule type="cellIs" dxfId="1410" priority="1618" operator="equal">
      <formula>"Muy Alta"</formula>
    </cfRule>
    <cfRule type="cellIs" dxfId="1409" priority="1619" operator="equal">
      <formula>"Alta"</formula>
    </cfRule>
    <cfRule type="cellIs" dxfId="1408" priority="1620" operator="equal">
      <formula>"Media"</formula>
    </cfRule>
    <cfRule type="cellIs" dxfId="1407" priority="1621" operator="equal">
      <formula>"Baja"</formula>
    </cfRule>
    <cfRule type="cellIs" dxfId="1406" priority="1622" operator="equal">
      <formula>"Muy Baja"</formula>
    </cfRule>
  </conditionalFormatting>
  <conditionalFormatting sqref="O49">
    <cfRule type="cellIs" dxfId="1405" priority="1613" operator="equal">
      <formula>"Catastrófico"</formula>
    </cfRule>
    <cfRule type="cellIs" dxfId="1404" priority="1614" operator="equal">
      <formula>"Mayor"</formula>
    </cfRule>
    <cfRule type="cellIs" dxfId="1403" priority="1615" operator="equal">
      <formula>"Moderado"</formula>
    </cfRule>
    <cfRule type="cellIs" dxfId="1402" priority="1616" operator="equal">
      <formula>"Menor"</formula>
    </cfRule>
    <cfRule type="cellIs" dxfId="1401" priority="1617" operator="equal">
      <formula>"Leve"</formula>
    </cfRule>
  </conditionalFormatting>
  <conditionalFormatting sqref="Q49">
    <cfRule type="cellIs" dxfId="1400" priority="1609" operator="equal">
      <formula>"Extremo"</formula>
    </cfRule>
    <cfRule type="cellIs" dxfId="1399" priority="1610" operator="equal">
      <formula>"Alto"</formula>
    </cfRule>
    <cfRule type="cellIs" dxfId="1398" priority="1611" operator="equal">
      <formula>"Moderado"</formula>
    </cfRule>
    <cfRule type="cellIs" dxfId="1397" priority="1612" operator="equal">
      <formula>"Bajo"</formula>
    </cfRule>
  </conditionalFormatting>
  <conditionalFormatting sqref="N49:N51">
    <cfRule type="containsText" dxfId="1396" priority="1608" operator="containsText" text="❌">
      <formula>NOT(ISERROR(SEARCH("❌",N49)))</formula>
    </cfRule>
  </conditionalFormatting>
  <conditionalFormatting sqref="K52">
    <cfRule type="cellIs" dxfId="1395" priority="1603" operator="equal">
      <formula>"Muy Alta"</formula>
    </cfRule>
    <cfRule type="cellIs" dxfId="1394" priority="1604" operator="equal">
      <formula>"Alta"</formula>
    </cfRule>
    <cfRule type="cellIs" dxfId="1393" priority="1605" operator="equal">
      <formula>"Media"</formula>
    </cfRule>
    <cfRule type="cellIs" dxfId="1392" priority="1606" operator="equal">
      <formula>"Baja"</formula>
    </cfRule>
    <cfRule type="cellIs" dxfId="1391" priority="1607" operator="equal">
      <formula>"Muy Baja"</formula>
    </cfRule>
  </conditionalFormatting>
  <conditionalFormatting sqref="O52">
    <cfRule type="cellIs" dxfId="1390" priority="1598" operator="equal">
      <formula>"Catastrófico"</formula>
    </cfRule>
    <cfRule type="cellIs" dxfId="1389" priority="1599" operator="equal">
      <formula>"Mayor"</formula>
    </cfRule>
    <cfRule type="cellIs" dxfId="1388" priority="1600" operator="equal">
      <formula>"Moderado"</formula>
    </cfRule>
    <cfRule type="cellIs" dxfId="1387" priority="1601" operator="equal">
      <formula>"Menor"</formula>
    </cfRule>
    <cfRule type="cellIs" dxfId="1386" priority="1602" operator="equal">
      <formula>"Leve"</formula>
    </cfRule>
  </conditionalFormatting>
  <conditionalFormatting sqref="Q52">
    <cfRule type="cellIs" dxfId="1385" priority="1594" operator="equal">
      <formula>"Extremo"</formula>
    </cfRule>
    <cfRule type="cellIs" dxfId="1384" priority="1595" operator="equal">
      <formula>"Alto"</formula>
    </cfRule>
    <cfRule type="cellIs" dxfId="1383" priority="1596" operator="equal">
      <formula>"Moderado"</formula>
    </cfRule>
    <cfRule type="cellIs" dxfId="1382" priority="1597" operator="equal">
      <formula>"Bajo"</formula>
    </cfRule>
  </conditionalFormatting>
  <conditionalFormatting sqref="N52:N54">
    <cfRule type="containsText" dxfId="1381" priority="1593" operator="containsText" text="❌">
      <formula>NOT(ISERROR(SEARCH("❌",N52)))</formula>
    </cfRule>
  </conditionalFormatting>
  <conditionalFormatting sqref="K55">
    <cfRule type="cellIs" dxfId="1380" priority="1588" operator="equal">
      <formula>"Muy Alta"</formula>
    </cfRule>
    <cfRule type="cellIs" dxfId="1379" priority="1589" operator="equal">
      <formula>"Alta"</formula>
    </cfRule>
    <cfRule type="cellIs" dxfId="1378" priority="1590" operator="equal">
      <formula>"Media"</formula>
    </cfRule>
    <cfRule type="cellIs" dxfId="1377" priority="1591" operator="equal">
      <formula>"Baja"</formula>
    </cfRule>
    <cfRule type="cellIs" dxfId="1376" priority="1592" operator="equal">
      <formula>"Muy Baja"</formula>
    </cfRule>
  </conditionalFormatting>
  <conditionalFormatting sqref="O55">
    <cfRule type="cellIs" dxfId="1375" priority="1583" operator="equal">
      <formula>"Catastrófico"</formula>
    </cfRule>
    <cfRule type="cellIs" dxfId="1374" priority="1584" operator="equal">
      <formula>"Mayor"</formula>
    </cfRule>
    <cfRule type="cellIs" dxfId="1373" priority="1585" operator="equal">
      <formula>"Moderado"</formula>
    </cfRule>
    <cfRule type="cellIs" dxfId="1372" priority="1586" operator="equal">
      <formula>"Menor"</formula>
    </cfRule>
    <cfRule type="cellIs" dxfId="1371" priority="1587" operator="equal">
      <formula>"Leve"</formula>
    </cfRule>
  </conditionalFormatting>
  <conditionalFormatting sqref="Q55">
    <cfRule type="cellIs" dxfId="1370" priority="1579" operator="equal">
      <formula>"Extremo"</formula>
    </cfRule>
    <cfRule type="cellIs" dxfId="1369" priority="1580" operator="equal">
      <formula>"Alto"</formula>
    </cfRule>
    <cfRule type="cellIs" dxfId="1368" priority="1581" operator="equal">
      <formula>"Moderado"</formula>
    </cfRule>
    <cfRule type="cellIs" dxfId="1367" priority="1582" operator="equal">
      <formula>"Bajo"</formula>
    </cfRule>
  </conditionalFormatting>
  <conditionalFormatting sqref="N55:N57">
    <cfRule type="containsText" dxfId="1366" priority="1578" operator="containsText" text="❌">
      <formula>NOT(ISERROR(SEARCH("❌",N55)))</formula>
    </cfRule>
  </conditionalFormatting>
  <conditionalFormatting sqref="K58">
    <cfRule type="cellIs" dxfId="1365" priority="1573" operator="equal">
      <formula>"Muy Alta"</formula>
    </cfRule>
    <cfRule type="cellIs" dxfId="1364" priority="1574" operator="equal">
      <formula>"Alta"</formula>
    </cfRule>
    <cfRule type="cellIs" dxfId="1363" priority="1575" operator="equal">
      <formula>"Media"</formula>
    </cfRule>
    <cfRule type="cellIs" dxfId="1362" priority="1576" operator="equal">
      <formula>"Baja"</formula>
    </cfRule>
    <cfRule type="cellIs" dxfId="1361" priority="1577" operator="equal">
      <formula>"Muy Baja"</formula>
    </cfRule>
  </conditionalFormatting>
  <conditionalFormatting sqref="O58">
    <cfRule type="cellIs" dxfId="1360" priority="1568" operator="equal">
      <formula>"Catastrófico"</formula>
    </cfRule>
    <cfRule type="cellIs" dxfId="1359" priority="1569" operator="equal">
      <formula>"Mayor"</formula>
    </cfRule>
    <cfRule type="cellIs" dxfId="1358" priority="1570" operator="equal">
      <formula>"Moderado"</formula>
    </cfRule>
    <cfRule type="cellIs" dxfId="1357" priority="1571" operator="equal">
      <formula>"Menor"</formula>
    </cfRule>
    <cfRule type="cellIs" dxfId="1356" priority="1572" operator="equal">
      <formula>"Leve"</formula>
    </cfRule>
  </conditionalFormatting>
  <conditionalFormatting sqref="Q58">
    <cfRule type="cellIs" dxfId="1355" priority="1564" operator="equal">
      <formula>"Extremo"</formula>
    </cfRule>
    <cfRule type="cellIs" dxfId="1354" priority="1565" operator="equal">
      <formula>"Alto"</formula>
    </cfRule>
    <cfRule type="cellIs" dxfId="1353" priority="1566" operator="equal">
      <formula>"Moderado"</formula>
    </cfRule>
    <cfRule type="cellIs" dxfId="1352" priority="1567" operator="equal">
      <formula>"Bajo"</formula>
    </cfRule>
  </conditionalFormatting>
  <conditionalFormatting sqref="N58:N60">
    <cfRule type="containsText" dxfId="1351" priority="1563" operator="containsText" text="❌">
      <formula>NOT(ISERROR(SEARCH("❌",N58)))</formula>
    </cfRule>
  </conditionalFormatting>
  <conditionalFormatting sqref="K61">
    <cfRule type="cellIs" dxfId="1350" priority="1558" operator="equal">
      <formula>"Muy Alta"</formula>
    </cfRule>
    <cfRule type="cellIs" dxfId="1349" priority="1559" operator="equal">
      <formula>"Alta"</formula>
    </cfRule>
    <cfRule type="cellIs" dxfId="1348" priority="1560" operator="equal">
      <formula>"Media"</formula>
    </cfRule>
    <cfRule type="cellIs" dxfId="1347" priority="1561" operator="equal">
      <formula>"Baja"</formula>
    </cfRule>
    <cfRule type="cellIs" dxfId="1346" priority="1562" operator="equal">
      <formula>"Muy Baja"</formula>
    </cfRule>
  </conditionalFormatting>
  <conditionalFormatting sqref="O61">
    <cfRule type="cellIs" dxfId="1345" priority="1553" operator="equal">
      <formula>"Catastrófico"</formula>
    </cfRule>
    <cfRule type="cellIs" dxfId="1344" priority="1554" operator="equal">
      <formula>"Mayor"</formula>
    </cfRule>
    <cfRule type="cellIs" dxfId="1343" priority="1555" operator="equal">
      <formula>"Moderado"</formula>
    </cfRule>
    <cfRule type="cellIs" dxfId="1342" priority="1556" operator="equal">
      <formula>"Menor"</formula>
    </cfRule>
    <cfRule type="cellIs" dxfId="1341" priority="1557" operator="equal">
      <formula>"Leve"</formula>
    </cfRule>
  </conditionalFormatting>
  <conditionalFormatting sqref="Q61">
    <cfRule type="cellIs" dxfId="1340" priority="1549" operator="equal">
      <formula>"Extremo"</formula>
    </cfRule>
    <cfRule type="cellIs" dxfId="1339" priority="1550" operator="equal">
      <formula>"Alto"</formula>
    </cfRule>
    <cfRule type="cellIs" dxfId="1338" priority="1551" operator="equal">
      <formula>"Moderado"</formula>
    </cfRule>
    <cfRule type="cellIs" dxfId="1337" priority="1552" operator="equal">
      <formula>"Bajo"</formula>
    </cfRule>
  </conditionalFormatting>
  <conditionalFormatting sqref="N61:N63">
    <cfRule type="containsText" dxfId="1336" priority="1548" operator="containsText" text="❌">
      <formula>NOT(ISERROR(SEARCH("❌",N61)))</formula>
    </cfRule>
  </conditionalFormatting>
  <conditionalFormatting sqref="K64">
    <cfRule type="cellIs" dxfId="1335" priority="1543" operator="equal">
      <formula>"Muy Alta"</formula>
    </cfRule>
    <cfRule type="cellIs" dxfId="1334" priority="1544" operator="equal">
      <formula>"Alta"</formula>
    </cfRule>
    <cfRule type="cellIs" dxfId="1333" priority="1545" operator="equal">
      <formula>"Media"</formula>
    </cfRule>
    <cfRule type="cellIs" dxfId="1332" priority="1546" operator="equal">
      <formula>"Baja"</formula>
    </cfRule>
    <cfRule type="cellIs" dxfId="1331" priority="1547" operator="equal">
      <formula>"Muy Baja"</formula>
    </cfRule>
  </conditionalFormatting>
  <conditionalFormatting sqref="O64">
    <cfRule type="cellIs" dxfId="1330" priority="1538" operator="equal">
      <formula>"Catastrófico"</formula>
    </cfRule>
    <cfRule type="cellIs" dxfId="1329" priority="1539" operator="equal">
      <formula>"Mayor"</formula>
    </cfRule>
    <cfRule type="cellIs" dxfId="1328" priority="1540" operator="equal">
      <formula>"Moderado"</formula>
    </cfRule>
    <cfRule type="cellIs" dxfId="1327" priority="1541" operator="equal">
      <formula>"Menor"</formula>
    </cfRule>
    <cfRule type="cellIs" dxfId="1326" priority="1542" operator="equal">
      <formula>"Leve"</formula>
    </cfRule>
  </conditionalFormatting>
  <conditionalFormatting sqref="Q64">
    <cfRule type="cellIs" dxfId="1325" priority="1534" operator="equal">
      <formula>"Extremo"</formula>
    </cfRule>
    <cfRule type="cellIs" dxfId="1324" priority="1535" operator="equal">
      <formula>"Alto"</formula>
    </cfRule>
    <cfRule type="cellIs" dxfId="1323" priority="1536" operator="equal">
      <formula>"Moderado"</formula>
    </cfRule>
    <cfRule type="cellIs" dxfId="1322" priority="1537" operator="equal">
      <formula>"Bajo"</formula>
    </cfRule>
  </conditionalFormatting>
  <conditionalFormatting sqref="N64:N66">
    <cfRule type="containsText" dxfId="1321" priority="1533" operator="containsText" text="❌">
      <formula>NOT(ISERROR(SEARCH("❌",N64)))</formula>
    </cfRule>
  </conditionalFormatting>
  <conditionalFormatting sqref="K70">
    <cfRule type="cellIs" dxfId="1320" priority="1528" operator="equal">
      <formula>"Muy Alta"</formula>
    </cfRule>
    <cfRule type="cellIs" dxfId="1319" priority="1529" operator="equal">
      <formula>"Alta"</formula>
    </cfRule>
    <cfRule type="cellIs" dxfId="1318" priority="1530" operator="equal">
      <formula>"Media"</formula>
    </cfRule>
    <cfRule type="cellIs" dxfId="1317" priority="1531" operator="equal">
      <formula>"Baja"</formula>
    </cfRule>
    <cfRule type="cellIs" dxfId="1316" priority="1532" operator="equal">
      <formula>"Muy Baja"</formula>
    </cfRule>
  </conditionalFormatting>
  <conditionalFormatting sqref="O70">
    <cfRule type="cellIs" dxfId="1315" priority="1523" operator="equal">
      <formula>"Catastrófico"</formula>
    </cfRule>
    <cfRule type="cellIs" dxfId="1314" priority="1524" operator="equal">
      <formula>"Mayor"</formula>
    </cfRule>
    <cfRule type="cellIs" dxfId="1313" priority="1525" operator="equal">
      <formula>"Moderado"</formula>
    </cfRule>
    <cfRule type="cellIs" dxfId="1312" priority="1526" operator="equal">
      <formula>"Menor"</formula>
    </cfRule>
    <cfRule type="cellIs" dxfId="1311" priority="1527" operator="equal">
      <formula>"Leve"</formula>
    </cfRule>
  </conditionalFormatting>
  <conditionalFormatting sqref="Q70">
    <cfRule type="cellIs" dxfId="1310" priority="1519" operator="equal">
      <formula>"Extremo"</formula>
    </cfRule>
    <cfRule type="cellIs" dxfId="1309" priority="1520" operator="equal">
      <formula>"Alto"</formula>
    </cfRule>
    <cfRule type="cellIs" dxfId="1308" priority="1521" operator="equal">
      <formula>"Moderado"</formula>
    </cfRule>
    <cfRule type="cellIs" dxfId="1307" priority="1522" operator="equal">
      <formula>"Bajo"</formula>
    </cfRule>
  </conditionalFormatting>
  <conditionalFormatting sqref="N70:N72">
    <cfRule type="containsText" dxfId="1306" priority="1518" operator="containsText" text="❌">
      <formula>NOT(ISERROR(SEARCH("❌",N70)))</formula>
    </cfRule>
  </conditionalFormatting>
  <conditionalFormatting sqref="K73">
    <cfRule type="cellIs" dxfId="1305" priority="1513" operator="equal">
      <formula>"Muy Alta"</formula>
    </cfRule>
    <cfRule type="cellIs" dxfId="1304" priority="1514" operator="equal">
      <formula>"Alta"</formula>
    </cfRule>
    <cfRule type="cellIs" dxfId="1303" priority="1515" operator="equal">
      <formula>"Media"</formula>
    </cfRule>
    <cfRule type="cellIs" dxfId="1302" priority="1516" operator="equal">
      <formula>"Baja"</formula>
    </cfRule>
    <cfRule type="cellIs" dxfId="1301" priority="1517" operator="equal">
      <formula>"Muy Baja"</formula>
    </cfRule>
  </conditionalFormatting>
  <conditionalFormatting sqref="O73">
    <cfRule type="cellIs" dxfId="1300" priority="1508" operator="equal">
      <formula>"Catastrófico"</formula>
    </cfRule>
    <cfRule type="cellIs" dxfId="1299" priority="1509" operator="equal">
      <formula>"Mayor"</formula>
    </cfRule>
    <cfRule type="cellIs" dxfId="1298" priority="1510" operator="equal">
      <formula>"Moderado"</formula>
    </cfRule>
    <cfRule type="cellIs" dxfId="1297" priority="1511" operator="equal">
      <formula>"Menor"</formula>
    </cfRule>
    <cfRule type="cellIs" dxfId="1296" priority="1512" operator="equal">
      <formula>"Leve"</formula>
    </cfRule>
  </conditionalFormatting>
  <conditionalFormatting sqref="Q73">
    <cfRule type="cellIs" dxfId="1295" priority="1504" operator="equal">
      <formula>"Extremo"</formula>
    </cfRule>
    <cfRule type="cellIs" dxfId="1294" priority="1505" operator="equal">
      <formula>"Alto"</formula>
    </cfRule>
    <cfRule type="cellIs" dxfId="1293" priority="1506" operator="equal">
      <formula>"Moderado"</formula>
    </cfRule>
    <cfRule type="cellIs" dxfId="1292" priority="1507" operator="equal">
      <formula>"Bajo"</formula>
    </cfRule>
  </conditionalFormatting>
  <conditionalFormatting sqref="N73:N75">
    <cfRule type="containsText" dxfId="1291" priority="1503" operator="containsText" text="❌">
      <formula>NOT(ISERROR(SEARCH("❌",N73)))</formula>
    </cfRule>
  </conditionalFormatting>
  <conditionalFormatting sqref="K76">
    <cfRule type="cellIs" dxfId="1290" priority="1498" operator="equal">
      <formula>"Muy Alta"</formula>
    </cfRule>
    <cfRule type="cellIs" dxfId="1289" priority="1499" operator="equal">
      <formula>"Alta"</formula>
    </cfRule>
    <cfRule type="cellIs" dxfId="1288" priority="1500" operator="equal">
      <formula>"Media"</formula>
    </cfRule>
    <cfRule type="cellIs" dxfId="1287" priority="1501" operator="equal">
      <formula>"Baja"</formula>
    </cfRule>
    <cfRule type="cellIs" dxfId="1286" priority="1502" operator="equal">
      <formula>"Muy Baja"</formula>
    </cfRule>
  </conditionalFormatting>
  <conditionalFormatting sqref="O76">
    <cfRule type="cellIs" dxfId="1285" priority="1493" operator="equal">
      <formula>"Catastrófico"</formula>
    </cfRule>
    <cfRule type="cellIs" dxfId="1284" priority="1494" operator="equal">
      <formula>"Mayor"</formula>
    </cfRule>
    <cfRule type="cellIs" dxfId="1283" priority="1495" operator="equal">
      <formula>"Moderado"</formula>
    </cfRule>
    <cfRule type="cellIs" dxfId="1282" priority="1496" operator="equal">
      <formula>"Menor"</formula>
    </cfRule>
    <cfRule type="cellIs" dxfId="1281" priority="1497" operator="equal">
      <formula>"Leve"</formula>
    </cfRule>
  </conditionalFormatting>
  <conditionalFormatting sqref="Q76">
    <cfRule type="cellIs" dxfId="1280" priority="1489" operator="equal">
      <formula>"Extremo"</formula>
    </cfRule>
    <cfRule type="cellIs" dxfId="1279" priority="1490" operator="equal">
      <formula>"Alto"</formula>
    </cfRule>
    <cfRule type="cellIs" dxfId="1278" priority="1491" operator="equal">
      <formula>"Moderado"</formula>
    </cfRule>
    <cfRule type="cellIs" dxfId="1277" priority="1492" operator="equal">
      <formula>"Bajo"</formula>
    </cfRule>
  </conditionalFormatting>
  <conditionalFormatting sqref="N76:N78">
    <cfRule type="containsText" dxfId="1276" priority="1488" operator="containsText" text="❌">
      <formula>NOT(ISERROR(SEARCH("❌",N76)))</formula>
    </cfRule>
  </conditionalFormatting>
  <conditionalFormatting sqref="O79">
    <cfRule type="cellIs" dxfId="1275" priority="1478" operator="equal">
      <formula>"Catastrófico"</formula>
    </cfRule>
    <cfRule type="cellIs" dxfId="1274" priority="1479" operator="equal">
      <formula>"Mayor"</formula>
    </cfRule>
    <cfRule type="cellIs" dxfId="1273" priority="1480" operator="equal">
      <formula>"Moderado"</formula>
    </cfRule>
    <cfRule type="cellIs" dxfId="1272" priority="1481" operator="equal">
      <formula>"Menor"</formula>
    </cfRule>
    <cfRule type="cellIs" dxfId="1271" priority="1482" operator="equal">
      <formula>"Leve"</formula>
    </cfRule>
  </conditionalFormatting>
  <conditionalFormatting sqref="Q79">
    <cfRule type="cellIs" dxfId="1270" priority="1474" operator="equal">
      <formula>"Extremo"</formula>
    </cfRule>
    <cfRule type="cellIs" dxfId="1269" priority="1475" operator="equal">
      <formula>"Alto"</formula>
    </cfRule>
    <cfRule type="cellIs" dxfId="1268" priority="1476" operator="equal">
      <formula>"Moderado"</formula>
    </cfRule>
    <cfRule type="cellIs" dxfId="1267" priority="1477" operator="equal">
      <formula>"Bajo"</formula>
    </cfRule>
  </conditionalFormatting>
  <conditionalFormatting sqref="N79:N81">
    <cfRule type="containsText" dxfId="1266" priority="1473" operator="containsText" text="❌">
      <formula>NOT(ISERROR(SEARCH("❌",N79)))</formula>
    </cfRule>
  </conditionalFormatting>
  <conditionalFormatting sqref="K85">
    <cfRule type="cellIs" dxfId="1265" priority="1468" operator="equal">
      <formula>"Muy Alta"</formula>
    </cfRule>
    <cfRule type="cellIs" dxfId="1264" priority="1469" operator="equal">
      <formula>"Alta"</formula>
    </cfRule>
    <cfRule type="cellIs" dxfId="1263" priority="1470" operator="equal">
      <formula>"Media"</formula>
    </cfRule>
    <cfRule type="cellIs" dxfId="1262" priority="1471" operator="equal">
      <formula>"Baja"</formula>
    </cfRule>
    <cfRule type="cellIs" dxfId="1261" priority="1472" operator="equal">
      <formula>"Muy Baja"</formula>
    </cfRule>
  </conditionalFormatting>
  <conditionalFormatting sqref="O85">
    <cfRule type="cellIs" dxfId="1260" priority="1463" operator="equal">
      <formula>"Catastrófico"</formula>
    </cfRule>
    <cfRule type="cellIs" dxfId="1259" priority="1464" operator="equal">
      <formula>"Mayor"</formula>
    </cfRule>
    <cfRule type="cellIs" dxfId="1258" priority="1465" operator="equal">
      <formula>"Moderado"</formula>
    </cfRule>
    <cfRule type="cellIs" dxfId="1257" priority="1466" operator="equal">
      <formula>"Menor"</formula>
    </cfRule>
    <cfRule type="cellIs" dxfId="1256" priority="1467" operator="equal">
      <formula>"Leve"</formula>
    </cfRule>
  </conditionalFormatting>
  <conditionalFormatting sqref="Q85">
    <cfRule type="cellIs" dxfId="1255" priority="1459" operator="equal">
      <formula>"Extremo"</formula>
    </cfRule>
    <cfRule type="cellIs" dxfId="1254" priority="1460" operator="equal">
      <formula>"Alto"</formula>
    </cfRule>
    <cfRule type="cellIs" dxfId="1253" priority="1461" operator="equal">
      <formula>"Moderado"</formula>
    </cfRule>
    <cfRule type="cellIs" dxfId="1252" priority="1462" operator="equal">
      <formula>"Bajo"</formula>
    </cfRule>
  </conditionalFormatting>
  <conditionalFormatting sqref="N85:N87">
    <cfRule type="containsText" dxfId="1251" priority="1458" operator="containsText" text="❌">
      <formula>NOT(ISERROR(SEARCH("❌",N85)))</formula>
    </cfRule>
  </conditionalFormatting>
  <conditionalFormatting sqref="K88">
    <cfRule type="cellIs" dxfId="1250" priority="1453" operator="equal">
      <formula>"Muy Alta"</formula>
    </cfRule>
    <cfRule type="cellIs" dxfId="1249" priority="1454" operator="equal">
      <formula>"Alta"</formula>
    </cfRule>
    <cfRule type="cellIs" dxfId="1248" priority="1455" operator="equal">
      <formula>"Media"</formula>
    </cfRule>
    <cfRule type="cellIs" dxfId="1247" priority="1456" operator="equal">
      <formula>"Baja"</formula>
    </cfRule>
    <cfRule type="cellIs" dxfId="1246" priority="1457" operator="equal">
      <formula>"Muy Baja"</formula>
    </cfRule>
  </conditionalFormatting>
  <conditionalFormatting sqref="O88">
    <cfRule type="cellIs" dxfId="1245" priority="1448" operator="equal">
      <formula>"Catastrófico"</formula>
    </cfRule>
    <cfRule type="cellIs" dxfId="1244" priority="1449" operator="equal">
      <formula>"Mayor"</formula>
    </cfRule>
    <cfRule type="cellIs" dxfId="1243" priority="1450" operator="equal">
      <formula>"Moderado"</formula>
    </cfRule>
    <cfRule type="cellIs" dxfId="1242" priority="1451" operator="equal">
      <formula>"Menor"</formula>
    </cfRule>
    <cfRule type="cellIs" dxfId="1241" priority="1452" operator="equal">
      <formula>"Leve"</formula>
    </cfRule>
  </conditionalFormatting>
  <conditionalFormatting sqref="Q88">
    <cfRule type="cellIs" dxfId="1240" priority="1444" operator="equal">
      <formula>"Extremo"</formula>
    </cfRule>
    <cfRule type="cellIs" dxfId="1239" priority="1445" operator="equal">
      <formula>"Alto"</formula>
    </cfRule>
    <cfRule type="cellIs" dxfId="1238" priority="1446" operator="equal">
      <formula>"Moderado"</formula>
    </cfRule>
    <cfRule type="cellIs" dxfId="1237" priority="1447" operator="equal">
      <formula>"Bajo"</formula>
    </cfRule>
  </conditionalFormatting>
  <conditionalFormatting sqref="N88:N90">
    <cfRule type="containsText" dxfId="1236" priority="1443" operator="containsText" text="❌">
      <formula>NOT(ISERROR(SEARCH("❌",N88)))</formula>
    </cfRule>
  </conditionalFormatting>
  <conditionalFormatting sqref="K91">
    <cfRule type="cellIs" dxfId="1235" priority="1438" operator="equal">
      <formula>"Muy Alta"</formula>
    </cfRule>
    <cfRule type="cellIs" dxfId="1234" priority="1439" operator="equal">
      <formula>"Alta"</formula>
    </cfRule>
    <cfRule type="cellIs" dxfId="1233" priority="1440" operator="equal">
      <formula>"Media"</formula>
    </cfRule>
    <cfRule type="cellIs" dxfId="1232" priority="1441" operator="equal">
      <formula>"Baja"</formula>
    </cfRule>
    <cfRule type="cellIs" dxfId="1231" priority="1442" operator="equal">
      <formula>"Muy Baja"</formula>
    </cfRule>
  </conditionalFormatting>
  <conditionalFormatting sqref="O91">
    <cfRule type="cellIs" dxfId="1230" priority="1433" operator="equal">
      <formula>"Catastrófico"</formula>
    </cfRule>
    <cfRule type="cellIs" dxfId="1229" priority="1434" operator="equal">
      <formula>"Mayor"</formula>
    </cfRule>
    <cfRule type="cellIs" dxfId="1228" priority="1435" operator="equal">
      <formula>"Moderado"</formula>
    </cfRule>
    <cfRule type="cellIs" dxfId="1227" priority="1436" operator="equal">
      <formula>"Menor"</formula>
    </cfRule>
    <cfRule type="cellIs" dxfId="1226" priority="1437" operator="equal">
      <formula>"Leve"</formula>
    </cfRule>
  </conditionalFormatting>
  <conditionalFormatting sqref="Q91">
    <cfRule type="cellIs" dxfId="1225" priority="1429" operator="equal">
      <formula>"Extremo"</formula>
    </cfRule>
    <cfRule type="cellIs" dxfId="1224" priority="1430" operator="equal">
      <formula>"Alto"</formula>
    </cfRule>
    <cfRule type="cellIs" dxfId="1223" priority="1431" operator="equal">
      <formula>"Moderado"</formula>
    </cfRule>
    <cfRule type="cellIs" dxfId="1222" priority="1432" operator="equal">
      <formula>"Bajo"</formula>
    </cfRule>
  </conditionalFormatting>
  <conditionalFormatting sqref="N91:N93">
    <cfRule type="containsText" dxfId="1221" priority="1428" operator="containsText" text="❌">
      <formula>NOT(ISERROR(SEARCH("❌",N91)))</formula>
    </cfRule>
  </conditionalFormatting>
  <conditionalFormatting sqref="O94:O95">
    <cfRule type="cellIs" dxfId="1220" priority="1418" operator="equal">
      <formula>"Catastrófico"</formula>
    </cfRule>
    <cfRule type="cellIs" dxfId="1219" priority="1419" operator="equal">
      <formula>"Mayor"</formula>
    </cfRule>
    <cfRule type="cellIs" dxfId="1218" priority="1420" operator="equal">
      <formula>"Moderado"</formula>
    </cfRule>
    <cfRule type="cellIs" dxfId="1217" priority="1421" operator="equal">
      <formula>"Menor"</formula>
    </cfRule>
    <cfRule type="cellIs" dxfId="1216" priority="1422" operator="equal">
      <formula>"Leve"</formula>
    </cfRule>
  </conditionalFormatting>
  <conditionalFormatting sqref="Q94:Q95">
    <cfRule type="cellIs" dxfId="1215" priority="1414" operator="equal">
      <formula>"Extremo"</formula>
    </cfRule>
    <cfRule type="cellIs" dxfId="1214" priority="1415" operator="equal">
      <formula>"Alto"</formula>
    </cfRule>
    <cfRule type="cellIs" dxfId="1213" priority="1416" operator="equal">
      <formula>"Moderado"</formula>
    </cfRule>
    <cfRule type="cellIs" dxfId="1212" priority="1417" operator="equal">
      <formula>"Bajo"</formula>
    </cfRule>
  </conditionalFormatting>
  <conditionalFormatting sqref="N94:N96">
    <cfRule type="containsText" dxfId="1211" priority="1413" operator="containsText" text="❌">
      <formula>NOT(ISERROR(SEARCH("❌",N94)))</formula>
    </cfRule>
  </conditionalFormatting>
  <conditionalFormatting sqref="K100">
    <cfRule type="cellIs" dxfId="1210" priority="1393" operator="equal">
      <formula>"Muy Alta"</formula>
    </cfRule>
    <cfRule type="cellIs" dxfId="1209" priority="1394" operator="equal">
      <formula>"Alta"</formula>
    </cfRule>
    <cfRule type="cellIs" dxfId="1208" priority="1395" operator="equal">
      <formula>"Media"</formula>
    </cfRule>
    <cfRule type="cellIs" dxfId="1207" priority="1396" operator="equal">
      <formula>"Baja"</formula>
    </cfRule>
    <cfRule type="cellIs" dxfId="1206" priority="1397" operator="equal">
      <formula>"Muy Baja"</formula>
    </cfRule>
  </conditionalFormatting>
  <conditionalFormatting sqref="O100">
    <cfRule type="cellIs" dxfId="1205" priority="1388" operator="equal">
      <formula>"Catastrófico"</formula>
    </cfRule>
    <cfRule type="cellIs" dxfId="1204" priority="1389" operator="equal">
      <formula>"Mayor"</formula>
    </cfRule>
    <cfRule type="cellIs" dxfId="1203" priority="1390" operator="equal">
      <formula>"Moderado"</formula>
    </cfRule>
    <cfRule type="cellIs" dxfId="1202" priority="1391" operator="equal">
      <formula>"Menor"</formula>
    </cfRule>
    <cfRule type="cellIs" dxfId="1201" priority="1392" operator="equal">
      <formula>"Leve"</formula>
    </cfRule>
  </conditionalFormatting>
  <conditionalFormatting sqref="Q100">
    <cfRule type="cellIs" dxfId="1200" priority="1384" operator="equal">
      <formula>"Extremo"</formula>
    </cfRule>
    <cfRule type="cellIs" dxfId="1199" priority="1385" operator="equal">
      <formula>"Alto"</formula>
    </cfRule>
    <cfRule type="cellIs" dxfId="1198" priority="1386" operator="equal">
      <formula>"Moderado"</formula>
    </cfRule>
    <cfRule type="cellIs" dxfId="1197" priority="1387" operator="equal">
      <formula>"Bajo"</formula>
    </cfRule>
  </conditionalFormatting>
  <conditionalFormatting sqref="N100:N102">
    <cfRule type="containsText" dxfId="1196" priority="1383" operator="containsText" text="❌">
      <formula>NOT(ISERROR(SEARCH("❌",N100)))</formula>
    </cfRule>
  </conditionalFormatting>
  <conditionalFormatting sqref="K103">
    <cfRule type="cellIs" dxfId="1195" priority="1378" operator="equal">
      <formula>"Muy Alta"</formula>
    </cfRule>
    <cfRule type="cellIs" dxfId="1194" priority="1379" operator="equal">
      <formula>"Alta"</formula>
    </cfRule>
    <cfRule type="cellIs" dxfId="1193" priority="1380" operator="equal">
      <formula>"Media"</formula>
    </cfRule>
    <cfRule type="cellIs" dxfId="1192" priority="1381" operator="equal">
      <formula>"Baja"</formula>
    </cfRule>
    <cfRule type="cellIs" dxfId="1191" priority="1382" operator="equal">
      <formula>"Muy Baja"</formula>
    </cfRule>
  </conditionalFormatting>
  <conditionalFormatting sqref="O103">
    <cfRule type="cellIs" dxfId="1190" priority="1373" operator="equal">
      <formula>"Catastrófico"</formula>
    </cfRule>
    <cfRule type="cellIs" dxfId="1189" priority="1374" operator="equal">
      <formula>"Mayor"</formula>
    </cfRule>
    <cfRule type="cellIs" dxfId="1188" priority="1375" operator="equal">
      <formula>"Moderado"</formula>
    </cfRule>
    <cfRule type="cellIs" dxfId="1187" priority="1376" operator="equal">
      <formula>"Menor"</formula>
    </cfRule>
    <cfRule type="cellIs" dxfId="1186" priority="1377" operator="equal">
      <formula>"Leve"</formula>
    </cfRule>
  </conditionalFormatting>
  <conditionalFormatting sqref="Q103">
    <cfRule type="cellIs" dxfId="1185" priority="1369" operator="equal">
      <formula>"Extremo"</formula>
    </cfRule>
    <cfRule type="cellIs" dxfId="1184" priority="1370" operator="equal">
      <formula>"Alto"</formula>
    </cfRule>
    <cfRule type="cellIs" dxfId="1183" priority="1371" operator="equal">
      <formula>"Moderado"</formula>
    </cfRule>
    <cfRule type="cellIs" dxfId="1182" priority="1372" operator="equal">
      <formula>"Bajo"</formula>
    </cfRule>
  </conditionalFormatting>
  <conditionalFormatting sqref="N103:N105">
    <cfRule type="containsText" dxfId="1181" priority="1368" operator="containsText" text="❌">
      <formula>NOT(ISERROR(SEARCH("❌",N103)))</formula>
    </cfRule>
  </conditionalFormatting>
  <conditionalFormatting sqref="K121">
    <cfRule type="cellIs" dxfId="1180" priority="1363" operator="equal">
      <formula>"Muy Alta"</formula>
    </cfRule>
    <cfRule type="cellIs" dxfId="1179" priority="1364" operator="equal">
      <formula>"Alta"</formula>
    </cfRule>
    <cfRule type="cellIs" dxfId="1178" priority="1365" operator="equal">
      <formula>"Media"</formula>
    </cfRule>
    <cfRule type="cellIs" dxfId="1177" priority="1366" operator="equal">
      <formula>"Baja"</formula>
    </cfRule>
    <cfRule type="cellIs" dxfId="1176" priority="1367" operator="equal">
      <formula>"Muy Baja"</formula>
    </cfRule>
  </conditionalFormatting>
  <conditionalFormatting sqref="O121">
    <cfRule type="cellIs" dxfId="1175" priority="1358" operator="equal">
      <formula>"Catastrófico"</formula>
    </cfRule>
    <cfRule type="cellIs" dxfId="1174" priority="1359" operator="equal">
      <formula>"Mayor"</formula>
    </cfRule>
    <cfRule type="cellIs" dxfId="1173" priority="1360" operator="equal">
      <formula>"Moderado"</formula>
    </cfRule>
    <cfRule type="cellIs" dxfId="1172" priority="1361" operator="equal">
      <formula>"Menor"</formula>
    </cfRule>
    <cfRule type="cellIs" dxfId="1171" priority="1362" operator="equal">
      <formula>"Leve"</formula>
    </cfRule>
  </conditionalFormatting>
  <conditionalFormatting sqref="Q121">
    <cfRule type="cellIs" dxfId="1170" priority="1354" operator="equal">
      <formula>"Extremo"</formula>
    </cfRule>
    <cfRule type="cellIs" dxfId="1169" priority="1355" operator="equal">
      <formula>"Alto"</formula>
    </cfRule>
    <cfRule type="cellIs" dxfId="1168" priority="1356" operator="equal">
      <formula>"Moderado"</formula>
    </cfRule>
    <cfRule type="cellIs" dxfId="1167" priority="1357" operator="equal">
      <formula>"Bajo"</formula>
    </cfRule>
  </conditionalFormatting>
  <conditionalFormatting sqref="N121:N123">
    <cfRule type="containsText" dxfId="1166" priority="1353" operator="containsText" text="❌">
      <formula>NOT(ISERROR(SEARCH("❌",N121)))</formula>
    </cfRule>
  </conditionalFormatting>
  <conditionalFormatting sqref="AB106">
    <cfRule type="cellIs" dxfId="1165" priority="1348" operator="equal">
      <formula>"Muy Alta"</formula>
    </cfRule>
    <cfRule type="cellIs" dxfId="1164" priority="1349" operator="equal">
      <formula>"Alta"</formula>
    </cfRule>
    <cfRule type="cellIs" dxfId="1163" priority="1350" operator="equal">
      <formula>"Media"</formula>
    </cfRule>
    <cfRule type="cellIs" dxfId="1162" priority="1351" operator="equal">
      <formula>"Baja"</formula>
    </cfRule>
    <cfRule type="cellIs" dxfId="1161" priority="1352" operator="equal">
      <formula>"Muy Baja"</formula>
    </cfRule>
  </conditionalFormatting>
  <conditionalFormatting sqref="AD106">
    <cfRule type="cellIs" dxfId="1160" priority="1343" operator="equal">
      <formula>"Catastrófico"</formula>
    </cfRule>
    <cfRule type="cellIs" dxfId="1159" priority="1344" operator="equal">
      <formula>"Mayor"</formula>
    </cfRule>
    <cfRule type="cellIs" dxfId="1158" priority="1345" operator="equal">
      <formula>"Moderado"</formula>
    </cfRule>
    <cfRule type="cellIs" dxfId="1157" priority="1346" operator="equal">
      <formula>"Menor"</formula>
    </cfRule>
    <cfRule type="cellIs" dxfId="1156" priority="1347" operator="equal">
      <formula>"Leve"</formula>
    </cfRule>
  </conditionalFormatting>
  <conditionalFormatting sqref="AF106">
    <cfRule type="cellIs" dxfId="1155" priority="1339" operator="equal">
      <formula>"Extremo"</formula>
    </cfRule>
    <cfRule type="cellIs" dxfId="1154" priority="1340" operator="equal">
      <formula>"Alto"</formula>
    </cfRule>
    <cfRule type="cellIs" dxfId="1153" priority="1341" operator="equal">
      <formula>"Moderado"</formula>
    </cfRule>
    <cfRule type="cellIs" dxfId="1152" priority="1342" operator="equal">
      <formula>"Bajo"</formula>
    </cfRule>
  </conditionalFormatting>
  <conditionalFormatting sqref="AB107">
    <cfRule type="cellIs" dxfId="1151" priority="1334" operator="equal">
      <formula>"Muy Alta"</formula>
    </cfRule>
    <cfRule type="cellIs" dxfId="1150" priority="1335" operator="equal">
      <formula>"Alta"</formula>
    </cfRule>
    <cfRule type="cellIs" dxfId="1149" priority="1336" operator="equal">
      <formula>"Media"</formula>
    </cfRule>
    <cfRule type="cellIs" dxfId="1148" priority="1337" operator="equal">
      <formula>"Baja"</formula>
    </cfRule>
    <cfRule type="cellIs" dxfId="1147" priority="1338" operator="equal">
      <formula>"Muy Baja"</formula>
    </cfRule>
  </conditionalFormatting>
  <conditionalFormatting sqref="AD107">
    <cfRule type="cellIs" dxfId="1146" priority="1329" operator="equal">
      <formula>"Catastrófico"</formula>
    </cfRule>
    <cfRule type="cellIs" dxfId="1145" priority="1330" operator="equal">
      <formula>"Mayor"</formula>
    </cfRule>
    <cfRule type="cellIs" dxfId="1144" priority="1331" operator="equal">
      <formula>"Moderado"</formula>
    </cfRule>
    <cfRule type="cellIs" dxfId="1143" priority="1332" operator="equal">
      <formula>"Menor"</formula>
    </cfRule>
    <cfRule type="cellIs" dxfId="1142" priority="1333" operator="equal">
      <formula>"Leve"</formula>
    </cfRule>
  </conditionalFormatting>
  <conditionalFormatting sqref="AF107">
    <cfRule type="cellIs" dxfId="1141" priority="1325" operator="equal">
      <formula>"Extremo"</formula>
    </cfRule>
    <cfRule type="cellIs" dxfId="1140" priority="1326" operator="equal">
      <formula>"Alto"</formula>
    </cfRule>
    <cfRule type="cellIs" dxfId="1139" priority="1327" operator="equal">
      <formula>"Moderado"</formula>
    </cfRule>
    <cfRule type="cellIs" dxfId="1138" priority="1328" operator="equal">
      <formula>"Bajo"</formula>
    </cfRule>
  </conditionalFormatting>
  <conditionalFormatting sqref="AB108">
    <cfRule type="cellIs" dxfId="1137" priority="1320" operator="equal">
      <formula>"Muy Alta"</formula>
    </cfRule>
    <cfRule type="cellIs" dxfId="1136" priority="1321" operator="equal">
      <formula>"Alta"</formula>
    </cfRule>
    <cfRule type="cellIs" dxfId="1135" priority="1322" operator="equal">
      <formula>"Media"</formula>
    </cfRule>
    <cfRule type="cellIs" dxfId="1134" priority="1323" operator="equal">
      <formula>"Baja"</formula>
    </cfRule>
    <cfRule type="cellIs" dxfId="1133" priority="1324" operator="equal">
      <formula>"Muy Baja"</formula>
    </cfRule>
  </conditionalFormatting>
  <conditionalFormatting sqref="AD108">
    <cfRule type="cellIs" dxfId="1132" priority="1315" operator="equal">
      <formula>"Catastrófico"</formula>
    </cfRule>
    <cfRule type="cellIs" dxfId="1131" priority="1316" operator="equal">
      <formula>"Mayor"</formula>
    </cfRule>
    <cfRule type="cellIs" dxfId="1130" priority="1317" operator="equal">
      <formula>"Moderado"</formula>
    </cfRule>
    <cfRule type="cellIs" dxfId="1129" priority="1318" operator="equal">
      <formula>"Menor"</formula>
    </cfRule>
    <cfRule type="cellIs" dxfId="1128" priority="1319" operator="equal">
      <formula>"Leve"</formula>
    </cfRule>
  </conditionalFormatting>
  <conditionalFormatting sqref="AF108">
    <cfRule type="cellIs" dxfId="1127" priority="1311" operator="equal">
      <formula>"Extremo"</formula>
    </cfRule>
    <cfRule type="cellIs" dxfId="1126" priority="1312" operator="equal">
      <formula>"Alto"</formula>
    </cfRule>
    <cfRule type="cellIs" dxfId="1125" priority="1313" operator="equal">
      <formula>"Moderado"</formula>
    </cfRule>
    <cfRule type="cellIs" dxfId="1124" priority="1314" operator="equal">
      <formula>"Bajo"</formula>
    </cfRule>
  </conditionalFormatting>
  <conditionalFormatting sqref="K106">
    <cfRule type="cellIs" dxfId="1123" priority="1306" operator="equal">
      <formula>"Muy Alta"</formula>
    </cfRule>
    <cfRule type="cellIs" dxfId="1122" priority="1307" operator="equal">
      <formula>"Alta"</formula>
    </cfRule>
    <cfRule type="cellIs" dxfId="1121" priority="1308" operator="equal">
      <formula>"Media"</formula>
    </cfRule>
    <cfRule type="cellIs" dxfId="1120" priority="1309" operator="equal">
      <formula>"Baja"</formula>
    </cfRule>
    <cfRule type="cellIs" dxfId="1119" priority="1310" operator="equal">
      <formula>"Muy Baja"</formula>
    </cfRule>
  </conditionalFormatting>
  <conditionalFormatting sqref="O106">
    <cfRule type="cellIs" dxfId="1118" priority="1301" operator="equal">
      <formula>"Catastrófico"</formula>
    </cfRule>
    <cfRule type="cellIs" dxfId="1117" priority="1302" operator="equal">
      <formula>"Mayor"</formula>
    </cfRule>
    <cfRule type="cellIs" dxfId="1116" priority="1303" operator="equal">
      <formula>"Moderado"</formula>
    </cfRule>
    <cfRule type="cellIs" dxfId="1115" priority="1304" operator="equal">
      <formula>"Menor"</formula>
    </cfRule>
    <cfRule type="cellIs" dxfId="1114" priority="1305" operator="equal">
      <formula>"Leve"</formula>
    </cfRule>
  </conditionalFormatting>
  <conditionalFormatting sqref="Q106">
    <cfRule type="cellIs" dxfId="1113" priority="1297" operator="equal">
      <formula>"Extremo"</formula>
    </cfRule>
    <cfRule type="cellIs" dxfId="1112" priority="1298" operator="equal">
      <formula>"Alto"</formula>
    </cfRule>
    <cfRule type="cellIs" dxfId="1111" priority="1299" operator="equal">
      <formula>"Moderado"</formula>
    </cfRule>
    <cfRule type="cellIs" dxfId="1110" priority="1300" operator="equal">
      <formula>"Bajo"</formula>
    </cfRule>
  </conditionalFormatting>
  <conditionalFormatting sqref="N106:N108">
    <cfRule type="containsText" dxfId="1109" priority="1296" operator="containsText" text="❌">
      <formula>NOT(ISERROR(SEARCH("❌",N106)))</formula>
    </cfRule>
  </conditionalFormatting>
  <conditionalFormatting sqref="AB109">
    <cfRule type="cellIs" dxfId="1108" priority="1291" operator="equal">
      <formula>"Muy Alta"</formula>
    </cfRule>
    <cfRule type="cellIs" dxfId="1107" priority="1292" operator="equal">
      <formula>"Alta"</formula>
    </cfRule>
    <cfRule type="cellIs" dxfId="1106" priority="1293" operator="equal">
      <formula>"Media"</formula>
    </cfRule>
    <cfRule type="cellIs" dxfId="1105" priority="1294" operator="equal">
      <formula>"Baja"</formula>
    </cfRule>
    <cfRule type="cellIs" dxfId="1104" priority="1295" operator="equal">
      <formula>"Muy Baja"</formula>
    </cfRule>
  </conditionalFormatting>
  <conditionalFormatting sqref="AD109">
    <cfRule type="cellIs" dxfId="1103" priority="1286" operator="equal">
      <formula>"Catastrófico"</formula>
    </cfRule>
    <cfRule type="cellIs" dxfId="1102" priority="1287" operator="equal">
      <formula>"Mayor"</formula>
    </cfRule>
    <cfRule type="cellIs" dxfId="1101" priority="1288" operator="equal">
      <formula>"Moderado"</formula>
    </cfRule>
    <cfRule type="cellIs" dxfId="1100" priority="1289" operator="equal">
      <formula>"Menor"</formula>
    </cfRule>
    <cfRule type="cellIs" dxfId="1099" priority="1290" operator="equal">
      <formula>"Leve"</formula>
    </cfRule>
  </conditionalFormatting>
  <conditionalFormatting sqref="AF109">
    <cfRule type="cellIs" dxfId="1098" priority="1282" operator="equal">
      <formula>"Extremo"</formula>
    </cfRule>
    <cfRule type="cellIs" dxfId="1097" priority="1283" operator="equal">
      <formula>"Alto"</formula>
    </cfRule>
    <cfRule type="cellIs" dxfId="1096" priority="1284" operator="equal">
      <formula>"Moderado"</formula>
    </cfRule>
    <cfRule type="cellIs" dxfId="1095" priority="1285" operator="equal">
      <formula>"Bajo"</formula>
    </cfRule>
  </conditionalFormatting>
  <conditionalFormatting sqref="AB110">
    <cfRule type="cellIs" dxfId="1094" priority="1277" operator="equal">
      <formula>"Muy Alta"</formula>
    </cfRule>
    <cfRule type="cellIs" dxfId="1093" priority="1278" operator="equal">
      <formula>"Alta"</formula>
    </cfRule>
    <cfRule type="cellIs" dxfId="1092" priority="1279" operator="equal">
      <formula>"Media"</formula>
    </cfRule>
    <cfRule type="cellIs" dxfId="1091" priority="1280" operator="equal">
      <formula>"Baja"</formula>
    </cfRule>
    <cfRule type="cellIs" dxfId="1090" priority="1281" operator="equal">
      <formula>"Muy Baja"</formula>
    </cfRule>
  </conditionalFormatting>
  <conditionalFormatting sqref="AD110">
    <cfRule type="cellIs" dxfId="1089" priority="1272" operator="equal">
      <formula>"Catastrófico"</formula>
    </cfRule>
    <cfRule type="cellIs" dxfId="1088" priority="1273" operator="equal">
      <formula>"Mayor"</formula>
    </cfRule>
    <cfRule type="cellIs" dxfId="1087" priority="1274" operator="equal">
      <formula>"Moderado"</formula>
    </cfRule>
    <cfRule type="cellIs" dxfId="1086" priority="1275" operator="equal">
      <formula>"Menor"</formula>
    </cfRule>
    <cfRule type="cellIs" dxfId="1085" priority="1276" operator="equal">
      <formula>"Leve"</formula>
    </cfRule>
  </conditionalFormatting>
  <conditionalFormatting sqref="AF110">
    <cfRule type="cellIs" dxfId="1084" priority="1268" operator="equal">
      <formula>"Extremo"</formula>
    </cfRule>
    <cfRule type="cellIs" dxfId="1083" priority="1269" operator="equal">
      <formula>"Alto"</formula>
    </cfRule>
    <cfRule type="cellIs" dxfId="1082" priority="1270" operator="equal">
      <formula>"Moderado"</formula>
    </cfRule>
    <cfRule type="cellIs" dxfId="1081" priority="1271" operator="equal">
      <formula>"Bajo"</formula>
    </cfRule>
  </conditionalFormatting>
  <conditionalFormatting sqref="AB111">
    <cfRule type="cellIs" dxfId="1080" priority="1263" operator="equal">
      <formula>"Muy Alta"</formula>
    </cfRule>
    <cfRule type="cellIs" dxfId="1079" priority="1264" operator="equal">
      <formula>"Alta"</formula>
    </cfRule>
    <cfRule type="cellIs" dxfId="1078" priority="1265" operator="equal">
      <formula>"Media"</formula>
    </cfRule>
    <cfRule type="cellIs" dxfId="1077" priority="1266" operator="equal">
      <formula>"Baja"</formula>
    </cfRule>
    <cfRule type="cellIs" dxfId="1076" priority="1267" operator="equal">
      <formula>"Muy Baja"</formula>
    </cfRule>
  </conditionalFormatting>
  <conditionalFormatting sqref="AD111">
    <cfRule type="cellIs" dxfId="1075" priority="1258" operator="equal">
      <formula>"Catastrófico"</formula>
    </cfRule>
    <cfRule type="cellIs" dxfId="1074" priority="1259" operator="equal">
      <formula>"Mayor"</formula>
    </cfRule>
    <cfRule type="cellIs" dxfId="1073" priority="1260" operator="equal">
      <formula>"Moderado"</formula>
    </cfRule>
    <cfRule type="cellIs" dxfId="1072" priority="1261" operator="equal">
      <formula>"Menor"</formula>
    </cfRule>
    <cfRule type="cellIs" dxfId="1071" priority="1262" operator="equal">
      <formula>"Leve"</formula>
    </cfRule>
  </conditionalFormatting>
  <conditionalFormatting sqref="AF111">
    <cfRule type="cellIs" dxfId="1070" priority="1254" operator="equal">
      <formula>"Extremo"</formula>
    </cfRule>
    <cfRule type="cellIs" dxfId="1069" priority="1255" operator="equal">
      <formula>"Alto"</formula>
    </cfRule>
    <cfRule type="cellIs" dxfId="1068" priority="1256" operator="equal">
      <formula>"Moderado"</formula>
    </cfRule>
    <cfRule type="cellIs" dxfId="1067" priority="1257" operator="equal">
      <formula>"Bajo"</formula>
    </cfRule>
  </conditionalFormatting>
  <conditionalFormatting sqref="K109">
    <cfRule type="cellIs" dxfId="1066" priority="1249" operator="equal">
      <formula>"Muy Alta"</formula>
    </cfRule>
    <cfRule type="cellIs" dxfId="1065" priority="1250" operator="equal">
      <formula>"Alta"</formula>
    </cfRule>
    <cfRule type="cellIs" dxfId="1064" priority="1251" operator="equal">
      <formula>"Media"</formula>
    </cfRule>
    <cfRule type="cellIs" dxfId="1063" priority="1252" operator="equal">
      <formula>"Baja"</formula>
    </cfRule>
    <cfRule type="cellIs" dxfId="1062" priority="1253" operator="equal">
      <formula>"Muy Baja"</formula>
    </cfRule>
  </conditionalFormatting>
  <conditionalFormatting sqref="O109">
    <cfRule type="cellIs" dxfId="1061" priority="1244" operator="equal">
      <formula>"Catastrófico"</formula>
    </cfRule>
    <cfRule type="cellIs" dxfId="1060" priority="1245" operator="equal">
      <formula>"Mayor"</formula>
    </cfRule>
    <cfRule type="cellIs" dxfId="1059" priority="1246" operator="equal">
      <formula>"Moderado"</formula>
    </cfRule>
    <cfRule type="cellIs" dxfId="1058" priority="1247" operator="equal">
      <formula>"Menor"</formula>
    </cfRule>
    <cfRule type="cellIs" dxfId="1057" priority="1248" operator="equal">
      <formula>"Leve"</formula>
    </cfRule>
  </conditionalFormatting>
  <conditionalFormatting sqref="Q109">
    <cfRule type="cellIs" dxfId="1056" priority="1240" operator="equal">
      <formula>"Extremo"</formula>
    </cfRule>
    <cfRule type="cellIs" dxfId="1055" priority="1241" operator="equal">
      <formula>"Alto"</formula>
    </cfRule>
    <cfRule type="cellIs" dxfId="1054" priority="1242" operator="equal">
      <formula>"Moderado"</formula>
    </cfRule>
    <cfRule type="cellIs" dxfId="1053" priority="1243" operator="equal">
      <formula>"Bajo"</formula>
    </cfRule>
  </conditionalFormatting>
  <conditionalFormatting sqref="N109:N111">
    <cfRule type="containsText" dxfId="1052" priority="1239" operator="containsText" text="❌">
      <formula>NOT(ISERROR(SEARCH("❌",N109)))</formula>
    </cfRule>
  </conditionalFormatting>
  <conditionalFormatting sqref="AB112">
    <cfRule type="cellIs" dxfId="1051" priority="1234" operator="equal">
      <formula>"Muy Alta"</formula>
    </cfRule>
    <cfRule type="cellIs" dxfId="1050" priority="1235" operator="equal">
      <formula>"Alta"</formula>
    </cfRule>
    <cfRule type="cellIs" dxfId="1049" priority="1236" operator="equal">
      <formula>"Media"</formula>
    </cfRule>
    <cfRule type="cellIs" dxfId="1048" priority="1237" operator="equal">
      <formula>"Baja"</formula>
    </cfRule>
    <cfRule type="cellIs" dxfId="1047" priority="1238" operator="equal">
      <formula>"Muy Baja"</formula>
    </cfRule>
  </conditionalFormatting>
  <conditionalFormatting sqref="AD112">
    <cfRule type="cellIs" dxfId="1046" priority="1229" operator="equal">
      <formula>"Catastrófico"</formula>
    </cfRule>
    <cfRule type="cellIs" dxfId="1045" priority="1230" operator="equal">
      <formula>"Mayor"</formula>
    </cfRule>
    <cfRule type="cellIs" dxfId="1044" priority="1231" operator="equal">
      <formula>"Moderado"</formula>
    </cfRule>
    <cfRule type="cellIs" dxfId="1043" priority="1232" operator="equal">
      <formula>"Menor"</formula>
    </cfRule>
    <cfRule type="cellIs" dxfId="1042" priority="1233" operator="equal">
      <formula>"Leve"</formula>
    </cfRule>
  </conditionalFormatting>
  <conditionalFormatting sqref="AF112">
    <cfRule type="cellIs" dxfId="1041" priority="1225" operator="equal">
      <formula>"Extremo"</formula>
    </cfRule>
    <cfRule type="cellIs" dxfId="1040" priority="1226" operator="equal">
      <formula>"Alto"</formula>
    </cfRule>
    <cfRule type="cellIs" dxfId="1039" priority="1227" operator="equal">
      <formula>"Moderado"</formula>
    </cfRule>
    <cfRule type="cellIs" dxfId="1038" priority="1228" operator="equal">
      <formula>"Bajo"</formula>
    </cfRule>
  </conditionalFormatting>
  <conditionalFormatting sqref="AB113">
    <cfRule type="cellIs" dxfId="1037" priority="1220" operator="equal">
      <formula>"Muy Alta"</formula>
    </cfRule>
    <cfRule type="cellIs" dxfId="1036" priority="1221" operator="equal">
      <formula>"Alta"</formula>
    </cfRule>
    <cfRule type="cellIs" dxfId="1035" priority="1222" operator="equal">
      <formula>"Media"</formula>
    </cfRule>
    <cfRule type="cellIs" dxfId="1034" priority="1223" operator="equal">
      <formula>"Baja"</formula>
    </cfRule>
    <cfRule type="cellIs" dxfId="1033" priority="1224" operator="equal">
      <formula>"Muy Baja"</formula>
    </cfRule>
  </conditionalFormatting>
  <conditionalFormatting sqref="AD113">
    <cfRule type="cellIs" dxfId="1032" priority="1215" operator="equal">
      <formula>"Catastrófico"</formula>
    </cfRule>
    <cfRule type="cellIs" dxfId="1031" priority="1216" operator="equal">
      <formula>"Mayor"</formula>
    </cfRule>
    <cfRule type="cellIs" dxfId="1030" priority="1217" operator="equal">
      <formula>"Moderado"</formula>
    </cfRule>
    <cfRule type="cellIs" dxfId="1029" priority="1218" operator="equal">
      <formula>"Menor"</formula>
    </cfRule>
    <cfRule type="cellIs" dxfId="1028" priority="1219" operator="equal">
      <formula>"Leve"</formula>
    </cfRule>
  </conditionalFormatting>
  <conditionalFormatting sqref="AF113">
    <cfRule type="cellIs" dxfId="1027" priority="1211" operator="equal">
      <formula>"Extremo"</formula>
    </cfRule>
    <cfRule type="cellIs" dxfId="1026" priority="1212" operator="equal">
      <formula>"Alto"</formula>
    </cfRule>
    <cfRule type="cellIs" dxfId="1025" priority="1213" operator="equal">
      <formula>"Moderado"</formula>
    </cfRule>
    <cfRule type="cellIs" dxfId="1024" priority="1214" operator="equal">
      <formula>"Bajo"</formula>
    </cfRule>
  </conditionalFormatting>
  <conditionalFormatting sqref="AB114">
    <cfRule type="cellIs" dxfId="1023" priority="1206" operator="equal">
      <formula>"Muy Alta"</formula>
    </cfRule>
    <cfRule type="cellIs" dxfId="1022" priority="1207" operator="equal">
      <formula>"Alta"</formula>
    </cfRule>
    <cfRule type="cellIs" dxfId="1021" priority="1208" operator="equal">
      <formula>"Media"</formula>
    </cfRule>
    <cfRule type="cellIs" dxfId="1020" priority="1209" operator="equal">
      <formula>"Baja"</formula>
    </cfRule>
    <cfRule type="cellIs" dxfId="1019" priority="1210" operator="equal">
      <formula>"Muy Baja"</formula>
    </cfRule>
  </conditionalFormatting>
  <conditionalFormatting sqref="AD114">
    <cfRule type="cellIs" dxfId="1018" priority="1201" operator="equal">
      <formula>"Catastrófico"</formula>
    </cfRule>
    <cfRule type="cellIs" dxfId="1017" priority="1202" operator="equal">
      <formula>"Mayor"</formula>
    </cfRule>
    <cfRule type="cellIs" dxfId="1016" priority="1203" operator="equal">
      <formula>"Moderado"</formula>
    </cfRule>
    <cfRule type="cellIs" dxfId="1015" priority="1204" operator="equal">
      <formula>"Menor"</formula>
    </cfRule>
    <cfRule type="cellIs" dxfId="1014" priority="1205" operator="equal">
      <formula>"Leve"</formula>
    </cfRule>
  </conditionalFormatting>
  <conditionalFormatting sqref="AF114">
    <cfRule type="cellIs" dxfId="1013" priority="1197" operator="equal">
      <formula>"Extremo"</formula>
    </cfRule>
    <cfRule type="cellIs" dxfId="1012" priority="1198" operator="equal">
      <formula>"Alto"</formula>
    </cfRule>
    <cfRule type="cellIs" dxfId="1011" priority="1199" operator="equal">
      <formula>"Moderado"</formula>
    </cfRule>
    <cfRule type="cellIs" dxfId="1010" priority="1200" operator="equal">
      <formula>"Bajo"</formula>
    </cfRule>
  </conditionalFormatting>
  <conditionalFormatting sqref="K112">
    <cfRule type="cellIs" dxfId="1009" priority="1192" operator="equal">
      <formula>"Muy Alta"</formula>
    </cfRule>
    <cfRule type="cellIs" dxfId="1008" priority="1193" operator="equal">
      <formula>"Alta"</formula>
    </cfRule>
    <cfRule type="cellIs" dxfId="1007" priority="1194" operator="equal">
      <formula>"Media"</formula>
    </cfRule>
    <cfRule type="cellIs" dxfId="1006" priority="1195" operator="equal">
      <formula>"Baja"</formula>
    </cfRule>
    <cfRule type="cellIs" dxfId="1005" priority="1196" operator="equal">
      <formula>"Muy Baja"</formula>
    </cfRule>
  </conditionalFormatting>
  <conditionalFormatting sqref="O112">
    <cfRule type="cellIs" dxfId="1004" priority="1187" operator="equal">
      <formula>"Catastrófico"</formula>
    </cfRule>
    <cfRule type="cellIs" dxfId="1003" priority="1188" operator="equal">
      <formula>"Mayor"</formula>
    </cfRule>
    <cfRule type="cellIs" dxfId="1002" priority="1189" operator="equal">
      <formula>"Moderado"</formula>
    </cfRule>
    <cfRule type="cellIs" dxfId="1001" priority="1190" operator="equal">
      <formula>"Menor"</formula>
    </cfRule>
    <cfRule type="cellIs" dxfId="1000" priority="1191" operator="equal">
      <formula>"Leve"</formula>
    </cfRule>
  </conditionalFormatting>
  <conditionalFormatting sqref="Q112">
    <cfRule type="cellIs" dxfId="999" priority="1183" operator="equal">
      <formula>"Extremo"</formula>
    </cfRule>
    <cfRule type="cellIs" dxfId="998" priority="1184" operator="equal">
      <formula>"Alto"</formula>
    </cfRule>
    <cfRule type="cellIs" dxfId="997" priority="1185" operator="equal">
      <formula>"Moderado"</formula>
    </cfRule>
    <cfRule type="cellIs" dxfId="996" priority="1186" operator="equal">
      <formula>"Bajo"</formula>
    </cfRule>
  </conditionalFormatting>
  <conditionalFormatting sqref="N112:N114">
    <cfRule type="containsText" dxfId="995" priority="1182" operator="containsText" text="❌">
      <formula>NOT(ISERROR(SEARCH("❌",N112)))</formula>
    </cfRule>
  </conditionalFormatting>
  <conditionalFormatting sqref="AB115">
    <cfRule type="cellIs" dxfId="994" priority="1177" operator="equal">
      <formula>"Muy Alta"</formula>
    </cfRule>
    <cfRule type="cellIs" dxfId="993" priority="1178" operator="equal">
      <formula>"Alta"</formula>
    </cfRule>
    <cfRule type="cellIs" dxfId="992" priority="1179" operator="equal">
      <formula>"Media"</formula>
    </cfRule>
    <cfRule type="cellIs" dxfId="991" priority="1180" operator="equal">
      <formula>"Baja"</formula>
    </cfRule>
    <cfRule type="cellIs" dxfId="990" priority="1181" operator="equal">
      <formula>"Muy Baja"</formula>
    </cfRule>
  </conditionalFormatting>
  <conditionalFormatting sqref="AD115">
    <cfRule type="cellIs" dxfId="989" priority="1172" operator="equal">
      <formula>"Catastrófico"</formula>
    </cfRule>
    <cfRule type="cellIs" dxfId="988" priority="1173" operator="equal">
      <formula>"Mayor"</formula>
    </cfRule>
    <cfRule type="cellIs" dxfId="987" priority="1174" operator="equal">
      <formula>"Moderado"</formula>
    </cfRule>
    <cfRule type="cellIs" dxfId="986" priority="1175" operator="equal">
      <formula>"Menor"</formula>
    </cfRule>
    <cfRule type="cellIs" dxfId="985" priority="1176" operator="equal">
      <formula>"Leve"</formula>
    </cfRule>
  </conditionalFormatting>
  <conditionalFormatting sqref="AF115">
    <cfRule type="cellIs" dxfId="984" priority="1168" operator="equal">
      <formula>"Extremo"</formula>
    </cfRule>
    <cfRule type="cellIs" dxfId="983" priority="1169" operator="equal">
      <formula>"Alto"</formula>
    </cfRule>
    <cfRule type="cellIs" dxfId="982" priority="1170" operator="equal">
      <formula>"Moderado"</formula>
    </cfRule>
    <cfRule type="cellIs" dxfId="981" priority="1171" operator="equal">
      <formula>"Bajo"</formula>
    </cfRule>
  </conditionalFormatting>
  <conditionalFormatting sqref="AB116">
    <cfRule type="cellIs" dxfId="980" priority="1163" operator="equal">
      <formula>"Muy Alta"</formula>
    </cfRule>
    <cfRule type="cellIs" dxfId="979" priority="1164" operator="equal">
      <formula>"Alta"</formula>
    </cfRule>
    <cfRule type="cellIs" dxfId="978" priority="1165" operator="equal">
      <formula>"Media"</formula>
    </cfRule>
    <cfRule type="cellIs" dxfId="977" priority="1166" operator="equal">
      <formula>"Baja"</formula>
    </cfRule>
    <cfRule type="cellIs" dxfId="976" priority="1167" operator="equal">
      <formula>"Muy Baja"</formula>
    </cfRule>
  </conditionalFormatting>
  <conditionalFormatting sqref="AD116">
    <cfRule type="cellIs" dxfId="975" priority="1158" operator="equal">
      <formula>"Catastrófico"</formula>
    </cfRule>
    <cfRule type="cellIs" dxfId="974" priority="1159" operator="equal">
      <formula>"Mayor"</formula>
    </cfRule>
    <cfRule type="cellIs" dxfId="973" priority="1160" operator="equal">
      <formula>"Moderado"</formula>
    </cfRule>
    <cfRule type="cellIs" dxfId="972" priority="1161" operator="equal">
      <formula>"Menor"</formula>
    </cfRule>
    <cfRule type="cellIs" dxfId="971" priority="1162" operator="equal">
      <formula>"Leve"</formula>
    </cfRule>
  </conditionalFormatting>
  <conditionalFormatting sqref="AF116">
    <cfRule type="cellIs" dxfId="970" priority="1154" operator="equal">
      <formula>"Extremo"</formula>
    </cfRule>
    <cfRule type="cellIs" dxfId="969" priority="1155" operator="equal">
      <formula>"Alto"</formula>
    </cfRule>
    <cfRule type="cellIs" dxfId="968" priority="1156" operator="equal">
      <formula>"Moderado"</formula>
    </cfRule>
    <cfRule type="cellIs" dxfId="967" priority="1157" operator="equal">
      <formula>"Bajo"</formula>
    </cfRule>
  </conditionalFormatting>
  <conditionalFormatting sqref="AB117">
    <cfRule type="cellIs" dxfId="966" priority="1149" operator="equal">
      <formula>"Muy Alta"</formula>
    </cfRule>
    <cfRule type="cellIs" dxfId="965" priority="1150" operator="equal">
      <formula>"Alta"</formula>
    </cfRule>
    <cfRule type="cellIs" dxfId="964" priority="1151" operator="equal">
      <formula>"Media"</formula>
    </cfRule>
    <cfRule type="cellIs" dxfId="963" priority="1152" operator="equal">
      <formula>"Baja"</formula>
    </cfRule>
    <cfRule type="cellIs" dxfId="962" priority="1153" operator="equal">
      <formula>"Muy Baja"</formula>
    </cfRule>
  </conditionalFormatting>
  <conditionalFormatting sqref="AD117">
    <cfRule type="cellIs" dxfId="961" priority="1144" operator="equal">
      <formula>"Catastrófico"</formula>
    </cfRule>
    <cfRule type="cellIs" dxfId="960" priority="1145" operator="equal">
      <formula>"Mayor"</formula>
    </cfRule>
    <cfRule type="cellIs" dxfId="959" priority="1146" operator="equal">
      <formula>"Moderado"</formula>
    </cfRule>
    <cfRule type="cellIs" dxfId="958" priority="1147" operator="equal">
      <formula>"Menor"</formula>
    </cfRule>
    <cfRule type="cellIs" dxfId="957" priority="1148" operator="equal">
      <formula>"Leve"</formula>
    </cfRule>
  </conditionalFormatting>
  <conditionalFormatting sqref="AF117">
    <cfRule type="cellIs" dxfId="956" priority="1140" operator="equal">
      <formula>"Extremo"</formula>
    </cfRule>
    <cfRule type="cellIs" dxfId="955" priority="1141" operator="equal">
      <formula>"Alto"</formula>
    </cfRule>
    <cfRule type="cellIs" dxfId="954" priority="1142" operator="equal">
      <formula>"Moderado"</formula>
    </cfRule>
    <cfRule type="cellIs" dxfId="953" priority="1143" operator="equal">
      <formula>"Bajo"</formula>
    </cfRule>
  </conditionalFormatting>
  <conditionalFormatting sqref="K115">
    <cfRule type="cellIs" dxfId="952" priority="1135" operator="equal">
      <formula>"Muy Alta"</formula>
    </cfRule>
    <cfRule type="cellIs" dxfId="951" priority="1136" operator="equal">
      <formula>"Alta"</formula>
    </cfRule>
    <cfRule type="cellIs" dxfId="950" priority="1137" operator="equal">
      <formula>"Media"</formula>
    </cfRule>
    <cfRule type="cellIs" dxfId="949" priority="1138" operator="equal">
      <formula>"Baja"</formula>
    </cfRule>
    <cfRule type="cellIs" dxfId="948" priority="1139" operator="equal">
      <formula>"Muy Baja"</formula>
    </cfRule>
  </conditionalFormatting>
  <conditionalFormatting sqref="O115">
    <cfRule type="cellIs" dxfId="947" priority="1130" operator="equal">
      <formula>"Catastrófico"</formula>
    </cfRule>
    <cfRule type="cellIs" dxfId="946" priority="1131" operator="equal">
      <formula>"Mayor"</formula>
    </cfRule>
    <cfRule type="cellIs" dxfId="945" priority="1132" operator="equal">
      <formula>"Moderado"</formula>
    </cfRule>
    <cfRule type="cellIs" dxfId="944" priority="1133" operator="equal">
      <formula>"Menor"</formula>
    </cfRule>
    <cfRule type="cellIs" dxfId="943" priority="1134" operator="equal">
      <formula>"Leve"</formula>
    </cfRule>
  </conditionalFormatting>
  <conditionalFormatting sqref="Q115">
    <cfRule type="cellIs" dxfId="942" priority="1126" operator="equal">
      <formula>"Extremo"</formula>
    </cfRule>
    <cfRule type="cellIs" dxfId="941" priority="1127" operator="equal">
      <formula>"Alto"</formula>
    </cfRule>
    <cfRule type="cellIs" dxfId="940" priority="1128" operator="equal">
      <formula>"Moderado"</formula>
    </cfRule>
    <cfRule type="cellIs" dxfId="939" priority="1129" operator="equal">
      <formula>"Bajo"</formula>
    </cfRule>
  </conditionalFormatting>
  <conditionalFormatting sqref="N115:N117">
    <cfRule type="containsText" dxfId="938" priority="1125" operator="containsText" text="❌">
      <formula>NOT(ISERROR(SEARCH("❌",N115)))</formula>
    </cfRule>
  </conditionalFormatting>
  <conditionalFormatting sqref="AB118">
    <cfRule type="cellIs" dxfId="937" priority="1120" operator="equal">
      <formula>"Muy Alta"</formula>
    </cfRule>
    <cfRule type="cellIs" dxfId="936" priority="1121" operator="equal">
      <formula>"Alta"</formula>
    </cfRule>
    <cfRule type="cellIs" dxfId="935" priority="1122" operator="equal">
      <formula>"Media"</formula>
    </cfRule>
    <cfRule type="cellIs" dxfId="934" priority="1123" operator="equal">
      <formula>"Baja"</formula>
    </cfRule>
    <cfRule type="cellIs" dxfId="933" priority="1124" operator="equal">
      <formula>"Muy Baja"</formula>
    </cfRule>
  </conditionalFormatting>
  <conditionalFormatting sqref="AD118">
    <cfRule type="cellIs" dxfId="932" priority="1115" operator="equal">
      <formula>"Catastrófico"</formula>
    </cfRule>
    <cfRule type="cellIs" dxfId="931" priority="1116" operator="equal">
      <formula>"Mayor"</formula>
    </cfRule>
    <cfRule type="cellIs" dxfId="930" priority="1117" operator="equal">
      <formula>"Moderado"</formula>
    </cfRule>
    <cfRule type="cellIs" dxfId="929" priority="1118" operator="equal">
      <formula>"Menor"</formula>
    </cfRule>
    <cfRule type="cellIs" dxfId="928" priority="1119" operator="equal">
      <formula>"Leve"</formula>
    </cfRule>
  </conditionalFormatting>
  <conditionalFormatting sqref="AF118">
    <cfRule type="cellIs" dxfId="927" priority="1111" operator="equal">
      <formula>"Extremo"</formula>
    </cfRule>
    <cfRule type="cellIs" dxfId="926" priority="1112" operator="equal">
      <formula>"Alto"</formula>
    </cfRule>
    <cfRule type="cellIs" dxfId="925" priority="1113" operator="equal">
      <formula>"Moderado"</formula>
    </cfRule>
    <cfRule type="cellIs" dxfId="924" priority="1114" operator="equal">
      <formula>"Bajo"</formula>
    </cfRule>
  </conditionalFormatting>
  <conditionalFormatting sqref="AB119">
    <cfRule type="cellIs" dxfId="923" priority="1106" operator="equal">
      <formula>"Muy Alta"</formula>
    </cfRule>
    <cfRule type="cellIs" dxfId="922" priority="1107" operator="equal">
      <formula>"Alta"</formula>
    </cfRule>
    <cfRule type="cellIs" dxfId="921" priority="1108" operator="equal">
      <formula>"Media"</formula>
    </cfRule>
    <cfRule type="cellIs" dxfId="920" priority="1109" operator="equal">
      <formula>"Baja"</formula>
    </cfRule>
    <cfRule type="cellIs" dxfId="919" priority="1110" operator="equal">
      <formula>"Muy Baja"</formula>
    </cfRule>
  </conditionalFormatting>
  <conditionalFormatting sqref="AD119">
    <cfRule type="cellIs" dxfId="918" priority="1101" operator="equal">
      <formula>"Catastrófico"</formula>
    </cfRule>
    <cfRule type="cellIs" dxfId="917" priority="1102" operator="equal">
      <formula>"Mayor"</formula>
    </cfRule>
    <cfRule type="cellIs" dxfId="916" priority="1103" operator="equal">
      <formula>"Moderado"</formula>
    </cfRule>
    <cfRule type="cellIs" dxfId="915" priority="1104" operator="equal">
      <formula>"Menor"</formula>
    </cfRule>
    <cfRule type="cellIs" dxfId="914" priority="1105" operator="equal">
      <formula>"Leve"</formula>
    </cfRule>
  </conditionalFormatting>
  <conditionalFormatting sqref="AF119">
    <cfRule type="cellIs" dxfId="913" priority="1097" operator="equal">
      <formula>"Extremo"</formula>
    </cfRule>
    <cfRule type="cellIs" dxfId="912" priority="1098" operator="equal">
      <formula>"Alto"</formula>
    </cfRule>
    <cfRule type="cellIs" dxfId="911" priority="1099" operator="equal">
      <formula>"Moderado"</formula>
    </cfRule>
    <cfRule type="cellIs" dxfId="910" priority="1100" operator="equal">
      <formula>"Bajo"</formula>
    </cfRule>
  </conditionalFormatting>
  <conditionalFormatting sqref="AB120:AB123">
    <cfRule type="cellIs" dxfId="909" priority="1092" operator="equal">
      <formula>"Muy Alta"</formula>
    </cfRule>
    <cfRule type="cellIs" dxfId="908" priority="1093" operator="equal">
      <formula>"Alta"</formula>
    </cfRule>
    <cfRule type="cellIs" dxfId="907" priority="1094" operator="equal">
      <formula>"Media"</formula>
    </cfRule>
    <cfRule type="cellIs" dxfId="906" priority="1095" operator="equal">
      <formula>"Baja"</formula>
    </cfRule>
    <cfRule type="cellIs" dxfId="905" priority="1096" operator="equal">
      <formula>"Muy Baja"</formula>
    </cfRule>
  </conditionalFormatting>
  <conditionalFormatting sqref="AD120:AD123">
    <cfRule type="cellIs" dxfId="904" priority="1087" operator="equal">
      <formula>"Catastrófico"</formula>
    </cfRule>
    <cfRule type="cellIs" dxfId="903" priority="1088" operator="equal">
      <formula>"Mayor"</formula>
    </cfRule>
    <cfRule type="cellIs" dxfId="902" priority="1089" operator="equal">
      <formula>"Moderado"</formula>
    </cfRule>
    <cfRule type="cellIs" dxfId="901" priority="1090" operator="equal">
      <formula>"Menor"</formula>
    </cfRule>
    <cfRule type="cellIs" dxfId="900" priority="1091" operator="equal">
      <formula>"Leve"</formula>
    </cfRule>
  </conditionalFormatting>
  <conditionalFormatting sqref="AF120:AF123">
    <cfRule type="cellIs" dxfId="899" priority="1083" operator="equal">
      <formula>"Extremo"</formula>
    </cfRule>
    <cfRule type="cellIs" dxfId="898" priority="1084" operator="equal">
      <formula>"Alto"</formula>
    </cfRule>
    <cfRule type="cellIs" dxfId="897" priority="1085" operator="equal">
      <formula>"Moderado"</formula>
    </cfRule>
    <cfRule type="cellIs" dxfId="896" priority="1086" operator="equal">
      <formula>"Bajo"</formula>
    </cfRule>
  </conditionalFormatting>
  <conditionalFormatting sqref="K118">
    <cfRule type="cellIs" dxfId="895" priority="1078" operator="equal">
      <formula>"Muy Alta"</formula>
    </cfRule>
    <cfRule type="cellIs" dxfId="894" priority="1079" operator="equal">
      <formula>"Alta"</formula>
    </cfRule>
    <cfRule type="cellIs" dxfId="893" priority="1080" operator="equal">
      <formula>"Media"</formula>
    </cfRule>
    <cfRule type="cellIs" dxfId="892" priority="1081" operator="equal">
      <formula>"Baja"</formula>
    </cfRule>
    <cfRule type="cellIs" dxfId="891" priority="1082" operator="equal">
      <formula>"Muy Baja"</formula>
    </cfRule>
  </conditionalFormatting>
  <conditionalFormatting sqref="O118">
    <cfRule type="cellIs" dxfId="890" priority="1073" operator="equal">
      <formula>"Catastrófico"</formula>
    </cfRule>
    <cfRule type="cellIs" dxfId="889" priority="1074" operator="equal">
      <formula>"Mayor"</formula>
    </cfRule>
    <cfRule type="cellIs" dxfId="888" priority="1075" operator="equal">
      <formula>"Moderado"</formula>
    </cfRule>
    <cfRule type="cellIs" dxfId="887" priority="1076" operator="equal">
      <formula>"Menor"</formula>
    </cfRule>
    <cfRule type="cellIs" dxfId="886" priority="1077" operator="equal">
      <formula>"Leve"</formula>
    </cfRule>
  </conditionalFormatting>
  <conditionalFormatting sqref="Q118">
    <cfRule type="cellIs" dxfId="885" priority="1069" operator="equal">
      <formula>"Extremo"</formula>
    </cfRule>
    <cfRule type="cellIs" dxfId="884" priority="1070" operator="equal">
      <formula>"Alto"</formula>
    </cfRule>
    <cfRule type="cellIs" dxfId="883" priority="1071" operator="equal">
      <formula>"Moderado"</formula>
    </cfRule>
    <cfRule type="cellIs" dxfId="882" priority="1072" operator="equal">
      <formula>"Bajo"</formula>
    </cfRule>
  </conditionalFormatting>
  <conditionalFormatting sqref="N118:N123">
    <cfRule type="containsText" dxfId="881" priority="1068" operator="containsText" text="❌">
      <formula>NOT(ISERROR(SEARCH("❌",N118)))</formula>
    </cfRule>
  </conditionalFormatting>
  <conditionalFormatting sqref="AB124">
    <cfRule type="cellIs" dxfId="880" priority="1063" operator="equal">
      <formula>"Muy Alta"</formula>
    </cfRule>
    <cfRule type="cellIs" dxfId="879" priority="1064" operator="equal">
      <formula>"Alta"</formula>
    </cfRule>
    <cfRule type="cellIs" dxfId="878" priority="1065" operator="equal">
      <formula>"Media"</formula>
    </cfRule>
    <cfRule type="cellIs" dxfId="877" priority="1066" operator="equal">
      <formula>"Baja"</formula>
    </cfRule>
    <cfRule type="cellIs" dxfId="876" priority="1067" operator="equal">
      <formula>"Muy Baja"</formula>
    </cfRule>
  </conditionalFormatting>
  <conditionalFormatting sqref="AD124">
    <cfRule type="cellIs" dxfId="875" priority="1058" operator="equal">
      <formula>"Catastrófico"</formula>
    </cfRule>
    <cfRule type="cellIs" dxfId="874" priority="1059" operator="equal">
      <formula>"Mayor"</formula>
    </cfRule>
    <cfRule type="cellIs" dxfId="873" priority="1060" operator="equal">
      <formula>"Moderado"</formula>
    </cfRule>
    <cfRule type="cellIs" dxfId="872" priority="1061" operator="equal">
      <formula>"Menor"</formula>
    </cfRule>
    <cfRule type="cellIs" dxfId="871" priority="1062" operator="equal">
      <formula>"Leve"</formula>
    </cfRule>
  </conditionalFormatting>
  <conditionalFormatting sqref="AF124">
    <cfRule type="cellIs" dxfId="870" priority="1054" operator="equal">
      <formula>"Extremo"</formula>
    </cfRule>
    <cfRule type="cellIs" dxfId="869" priority="1055" operator="equal">
      <formula>"Alto"</formula>
    </cfRule>
    <cfRule type="cellIs" dxfId="868" priority="1056" operator="equal">
      <formula>"Moderado"</formula>
    </cfRule>
    <cfRule type="cellIs" dxfId="867" priority="1057" operator="equal">
      <formula>"Bajo"</formula>
    </cfRule>
  </conditionalFormatting>
  <conditionalFormatting sqref="AB125">
    <cfRule type="cellIs" dxfId="866" priority="1049" operator="equal">
      <formula>"Muy Alta"</formula>
    </cfRule>
    <cfRule type="cellIs" dxfId="865" priority="1050" operator="equal">
      <formula>"Alta"</formula>
    </cfRule>
    <cfRule type="cellIs" dxfId="864" priority="1051" operator="equal">
      <formula>"Media"</formula>
    </cfRule>
    <cfRule type="cellIs" dxfId="863" priority="1052" operator="equal">
      <formula>"Baja"</formula>
    </cfRule>
    <cfRule type="cellIs" dxfId="862" priority="1053" operator="equal">
      <formula>"Muy Baja"</formula>
    </cfRule>
  </conditionalFormatting>
  <conditionalFormatting sqref="AD125">
    <cfRule type="cellIs" dxfId="861" priority="1044" operator="equal">
      <formula>"Catastrófico"</formula>
    </cfRule>
    <cfRule type="cellIs" dxfId="860" priority="1045" operator="equal">
      <formula>"Mayor"</formula>
    </cfRule>
    <cfRule type="cellIs" dxfId="859" priority="1046" operator="equal">
      <formula>"Moderado"</formula>
    </cfRule>
    <cfRule type="cellIs" dxfId="858" priority="1047" operator="equal">
      <formula>"Menor"</formula>
    </cfRule>
    <cfRule type="cellIs" dxfId="857" priority="1048" operator="equal">
      <formula>"Leve"</formula>
    </cfRule>
  </conditionalFormatting>
  <conditionalFormatting sqref="AF125">
    <cfRule type="cellIs" dxfId="856" priority="1040" operator="equal">
      <formula>"Extremo"</formula>
    </cfRule>
    <cfRule type="cellIs" dxfId="855" priority="1041" operator="equal">
      <formula>"Alto"</formula>
    </cfRule>
    <cfRule type="cellIs" dxfId="854" priority="1042" operator="equal">
      <formula>"Moderado"</formula>
    </cfRule>
    <cfRule type="cellIs" dxfId="853" priority="1043" operator="equal">
      <formula>"Bajo"</formula>
    </cfRule>
  </conditionalFormatting>
  <conditionalFormatting sqref="AB126">
    <cfRule type="cellIs" dxfId="852" priority="1035" operator="equal">
      <formula>"Muy Alta"</formula>
    </cfRule>
    <cfRule type="cellIs" dxfId="851" priority="1036" operator="equal">
      <formula>"Alta"</formula>
    </cfRule>
    <cfRule type="cellIs" dxfId="850" priority="1037" operator="equal">
      <formula>"Media"</formula>
    </cfRule>
    <cfRule type="cellIs" dxfId="849" priority="1038" operator="equal">
      <formula>"Baja"</formula>
    </cfRule>
    <cfRule type="cellIs" dxfId="848" priority="1039" operator="equal">
      <formula>"Muy Baja"</formula>
    </cfRule>
  </conditionalFormatting>
  <conditionalFormatting sqref="AD126">
    <cfRule type="cellIs" dxfId="847" priority="1030" operator="equal">
      <formula>"Catastrófico"</formula>
    </cfRule>
    <cfRule type="cellIs" dxfId="846" priority="1031" operator="equal">
      <formula>"Mayor"</formula>
    </cfRule>
    <cfRule type="cellIs" dxfId="845" priority="1032" operator="equal">
      <formula>"Moderado"</formula>
    </cfRule>
    <cfRule type="cellIs" dxfId="844" priority="1033" operator="equal">
      <formula>"Menor"</formula>
    </cfRule>
    <cfRule type="cellIs" dxfId="843" priority="1034" operator="equal">
      <formula>"Leve"</formula>
    </cfRule>
  </conditionalFormatting>
  <conditionalFormatting sqref="AF126">
    <cfRule type="cellIs" dxfId="842" priority="1026" operator="equal">
      <formula>"Extremo"</formula>
    </cfRule>
    <cfRule type="cellIs" dxfId="841" priority="1027" operator="equal">
      <formula>"Alto"</formula>
    </cfRule>
    <cfRule type="cellIs" dxfId="840" priority="1028" operator="equal">
      <formula>"Moderado"</formula>
    </cfRule>
    <cfRule type="cellIs" dxfId="839" priority="1029" operator="equal">
      <formula>"Bajo"</formula>
    </cfRule>
  </conditionalFormatting>
  <conditionalFormatting sqref="K124">
    <cfRule type="cellIs" dxfId="838" priority="1021" operator="equal">
      <formula>"Muy Alta"</formula>
    </cfRule>
    <cfRule type="cellIs" dxfId="837" priority="1022" operator="equal">
      <formula>"Alta"</formula>
    </cfRule>
    <cfRule type="cellIs" dxfId="836" priority="1023" operator="equal">
      <formula>"Media"</formula>
    </cfRule>
    <cfRule type="cellIs" dxfId="835" priority="1024" operator="equal">
      <formula>"Baja"</formula>
    </cfRule>
    <cfRule type="cellIs" dxfId="834" priority="1025" operator="equal">
      <formula>"Muy Baja"</formula>
    </cfRule>
  </conditionalFormatting>
  <conditionalFormatting sqref="O124">
    <cfRule type="cellIs" dxfId="833" priority="1016" operator="equal">
      <formula>"Catastrófico"</formula>
    </cfRule>
    <cfRule type="cellIs" dxfId="832" priority="1017" operator="equal">
      <formula>"Mayor"</formula>
    </cfRule>
    <cfRule type="cellIs" dxfId="831" priority="1018" operator="equal">
      <formula>"Moderado"</formula>
    </cfRule>
    <cfRule type="cellIs" dxfId="830" priority="1019" operator="equal">
      <formula>"Menor"</formula>
    </cfRule>
    <cfRule type="cellIs" dxfId="829" priority="1020" operator="equal">
      <formula>"Leve"</formula>
    </cfRule>
  </conditionalFormatting>
  <conditionalFormatting sqref="Q124">
    <cfRule type="cellIs" dxfId="828" priority="1012" operator="equal">
      <formula>"Extremo"</formula>
    </cfRule>
    <cfRule type="cellIs" dxfId="827" priority="1013" operator="equal">
      <formula>"Alto"</formula>
    </cfRule>
    <cfRule type="cellIs" dxfId="826" priority="1014" operator="equal">
      <formula>"Moderado"</formula>
    </cfRule>
    <cfRule type="cellIs" dxfId="825" priority="1015" operator="equal">
      <formula>"Bajo"</formula>
    </cfRule>
  </conditionalFormatting>
  <conditionalFormatting sqref="N124:N126">
    <cfRule type="containsText" dxfId="824" priority="1011" operator="containsText" text="❌">
      <formula>NOT(ISERROR(SEARCH("❌",N124)))</formula>
    </cfRule>
  </conditionalFormatting>
  <conditionalFormatting sqref="AB124:AB126">
    <cfRule type="cellIs" dxfId="823" priority="1006" operator="equal">
      <formula>"Muy Alta"</formula>
    </cfRule>
    <cfRule type="cellIs" dxfId="822" priority="1007" operator="equal">
      <formula>"Alta"</formula>
    </cfRule>
    <cfRule type="cellIs" dxfId="821" priority="1008" operator="equal">
      <formula>"Media"</formula>
    </cfRule>
    <cfRule type="cellIs" dxfId="820" priority="1009" operator="equal">
      <formula>"Baja"</formula>
    </cfRule>
    <cfRule type="cellIs" dxfId="819" priority="1010" operator="equal">
      <formula>"Muy Baja"</formula>
    </cfRule>
  </conditionalFormatting>
  <conditionalFormatting sqref="AD124:AD126">
    <cfRule type="cellIs" dxfId="818" priority="1001" operator="equal">
      <formula>"Catastrófico"</formula>
    </cfRule>
    <cfRule type="cellIs" dxfId="817" priority="1002" operator="equal">
      <formula>"Mayor"</formula>
    </cfRule>
    <cfRule type="cellIs" dxfId="816" priority="1003" operator="equal">
      <formula>"Moderado"</formula>
    </cfRule>
    <cfRule type="cellIs" dxfId="815" priority="1004" operator="equal">
      <formula>"Menor"</formula>
    </cfRule>
    <cfRule type="cellIs" dxfId="814" priority="1005" operator="equal">
      <formula>"Leve"</formula>
    </cfRule>
  </conditionalFormatting>
  <conditionalFormatting sqref="AF124:AF126">
    <cfRule type="cellIs" dxfId="813" priority="997" operator="equal">
      <formula>"Extremo"</formula>
    </cfRule>
    <cfRule type="cellIs" dxfId="812" priority="998" operator="equal">
      <formula>"Alto"</formula>
    </cfRule>
    <cfRule type="cellIs" dxfId="811" priority="999" operator="equal">
      <formula>"Moderado"</formula>
    </cfRule>
    <cfRule type="cellIs" dxfId="810" priority="1000" operator="equal">
      <formula>"Bajo"</formula>
    </cfRule>
  </conditionalFormatting>
  <conditionalFormatting sqref="N124:N126">
    <cfRule type="containsText" dxfId="809" priority="996" operator="containsText" text="❌">
      <formula>NOT(ISERROR(SEARCH("❌",N124)))</formula>
    </cfRule>
  </conditionalFormatting>
  <conditionalFormatting sqref="AB127">
    <cfRule type="cellIs" dxfId="808" priority="991" operator="equal">
      <formula>"Muy Alta"</formula>
    </cfRule>
    <cfRule type="cellIs" dxfId="807" priority="992" operator="equal">
      <formula>"Alta"</formula>
    </cfRule>
    <cfRule type="cellIs" dxfId="806" priority="993" operator="equal">
      <formula>"Media"</formula>
    </cfRule>
    <cfRule type="cellIs" dxfId="805" priority="994" operator="equal">
      <formula>"Baja"</formula>
    </cfRule>
    <cfRule type="cellIs" dxfId="804" priority="995" operator="equal">
      <formula>"Muy Baja"</formula>
    </cfRule>
  </conditionalFormatting>
  <conditionalFormatting sqref="AD127">
    <cfRule type="cellIs" dxfId="803" priority="986" operator="equal">
      <formula>"Catastrófico"</formula>
    </cfRule>
    <cfRule type="cellIs" dxfId="802" priority="987" operator="equal">
      <formula>"Mayor"</formula>
    </cfRule>
    <cfRule type="cellIs" dxfId="801" priority="988" operator="equal">
      <formula>"Moderado"</formula>
    </cfRule>
    <cfRule type="cellIs" dxfId="800" priority="989" operator="equal">
      <formula>"Menor"</formula>
    </cfRule>
    <cfRule type="cellIs" dxfId="799" priority="990" operator="equal">
      <formula>"Leve"</formula>
    </cfRule>
  </conditionalFormatting>
  <conditionalFormatting sqref="AF127">
    <cfRule type="cellIs" dxfId="798" priority="982" operator="equal">
      <formula>"Extremo"</formula>
    </cfRule>
    <cfRule type="cellIs" dxfId="797" priority="983" operator="equal">
      <formula>"Alto"</formula>
    </cfRule>
    <cfRule type="cellIs" dxfId="796" priority="984" operator="equal">
      <formula>"Moderado"</formula>
    </cfRule>
    <cfRule type="cellIs" dxfId="795" priority="985" operator="equal">
      <formula>"Bajo"</formula>
    </cfRule>
  </conditionalFormatting>
  <conditionalFormatting sqref="AB128">
    <cfRule type="cellIs" dxfId="794" priority="977" operator="equal">
      <formula>"Muy Alta"</formula>
    </cfRule>
    <cfRule type="cellIs" dxfId="793" priority="978" operator="equal">
      <formula>"Alta"</formula>
    </cfRule>
    <cfRule type="cellIs" dxfId="792" priority="979" operator="equal">
      <formula>"Media"</formula>
    </cfRule>
    <cfRule type="cellIs" dxfId="791" priority="980" operator="equal">
      <formula>"Baja"</formula>
    </cfRule>
    <cfRule type="cellIs" dxfId="790" priority="981" operator="equal">
      <formula>"Muy Baja"</formula>
    </cfRule>
  </conditionalFormatting>
  <conditionalFormatting sqref="AD128">
    <cfRule type="cellIs" dxfId="789" priority="972" operator="equal">
      <formula>"Catastrófico"</formula>
    </cfRule>
    <cfRule type="cellIs" dxfId="788" priority="973" operator="equal">
      <formula>"Mayor"</formula>
    </cfRule>
    <cfRule type="cellIs" dxfId="787" priority="974" operator="equal">
      <formula>"Moderado"</formula>
    </cfRule>
    <cfRule type="cellIs" dxfId="786" priority="975" operator="equal">
      <formula>"Menor"</formula>
    </cfRule>
    <cfRule type="cellIs" dxfId="785" priority="976" operator="equal">
      <formula>"Leve"</formula>
    </cfRule>
  </conditionalFormatting>
  <conditionalFormatting sqref="AF128">
    <cfRule type="cellIs" dxfId="784" priority="968" operator="equal">
      <formula>"Extremo"</formula>
    </cfRule>
    <cfRule type="cellIs" dxfId="783" priority="969" operator="equal">
      <formula>"Alto"</formula>
    </cfRule>
    <cfRule type="cellIs" dxfId="782" priority="970" operator="equal">
      <formula>"Moderado"</formula>
    </cfRule>
    <cfRule type="cellIs" dxfId="781" priority="971" operator="equal">
      <formula>"Bajo"</formula>
    </cfRule>
  </conditionalFormatting>
  <conditionalFormatting sqref="AB129">
    <cfRule type="cellIs" dxfId="780" priority="963" operator="equal">
      <formula>"Muy Alta"</formula>
    </cfRule>
    <cfRule type="cellIs" dxfId="779" priority="964" operator="equal">
      <formula>"Alta"</formula>
    </cfRule>
    <cfRule type="cellIs" dxfId="778" priority="965" operator="equal">
      <formula>"Media"</formula>
    </cfRule>
    <cfRule type="cellIs" dxfId="777" priority="966" operator="equal">
      <formula>"Baja"</formula>
    </cfRule>
    <cfRule type="cellIs" dxfId="776" priority="967" operator="equal">
      <formula>"Muy Baja"</formula>
    </cfRule>
  </conditionalFormatting>
  <conditionalFormatting sqref="AD129">
    <cfRule type="cellIs" dxfId="775" priority="958" operator="equal">
      <formula>"Catastrófico"</formula>
    </cfRule>
    <cfRule type="cellIs" dxfId="774" priority="959" operator="equal">
      <formula>"Mayor"</formula>
    </cfRule>
    <cfRule type="cellIs" dxfId="773" priority="960" operator="equal">
      <formula>"Moderado"</formula>
    </cfRule>
    <cfRule type="cellIs" dxfId="772" priority="961" operator="equal">
      <formula>"Menor"</formula>
    </cfRule>
    <cfRule type="cellIs" dxfId="771" priority="962" operator="equal">
      <formula>"Leve"</formula>
    </cfRule>
  </conditionalFormatting>
  <conditionalFormatting sqref="AF129">
    <cfRule type="cellIs" dxfId="770" priority="954" operator="equal">
      <formula>"Extremo"</formula>
    </cfRule>
    <cfRule type="cellIs" dxfId="769" priority="955" operator="equal">
      <formula>"Alto"</formula>
    </cfRule>
    <cfRule type="cellIs" dxfId="768" priority="956" operator="equal">
      <formula>"Moderado"</formula>
    </cfRule>
    <cfRule type="cellIs" dxfId="767" priority="957" operator="equal">
      <formula>"Bajo"</formula>
    </cfRule>
  </conditionalFormatting>
  <conditionalFormatting sqref="K127">
    <cfRule type="cellIs" dxfId="766" priority="949" operator="equal">
      <formula>"Muy Alta"</formula>
    </cfRule>
    <cfRule type="cellIs" dxfId="765" priority="950" operator="equal">
      <formula>"Alta"</formula>
    </cfRule>
    <cfRule type="cellIs" dxfId="764" priority="951" operator="equal">
      <formula>"Media"</formula>
    </cfRule>
    <cfRule type="cellIs" dxfId="763" priority="952" operator="equal">
      <formula>"Baja"</formula>
    </cfRule>
    <cfRule type="cellIs" dxfId="762" priority="953" operator="equal">
      <formula>"Muy Baja"</formula>
    </cfRule>
  </conditionalFormatting>
  <conditionalFormatting sqref="O127">
    <cfRule type="cellIs" dxfId="761" priority="944" operator="equal">
      <formula>"Catastrófico"</formula>
    </cfRule>
    <cfRule type="cellIs" dxfId="760" priority="945" operator="equal">
      <formula>"Mayor"</formula>
    </cfRule>
    <cfRule type="cellIs" dxfId="759" priority="946" operator="equal">
      <formula>"Moderado"</formula>
    </cfRule>
    <cfRule type="cellIs" dxfId="758" priority="947" operator="equal">
      <formula>"Menor"</formula>
    </cfRule>
    <cfRule type="cellIs" dxfId="757" priority="948" operator="equal">
      <formula>"Leve"</formula>
    </cfRule>
  </conditionalFormatting>
  <conditionalFormatting sqref="Q127">
    <cfRule type="cellIs" dxfId="756" priority="940" operator="equal">
      <formula>"Extremo"</formula>
    </cfRule>
    <cfRule type="cellIs" dxfId="755" priority="941" operator="equal">
      <formula>"Alto"</formula>
    </cfRule>
    <cfRule type="cellIs" dxfId="754" priority="942" operator="equal">
      <formula>"Moderado"</formula>
    </cfRule>
    <cfRule type="cellIs" dxfId="753" priority="943" operator="equal">
      <formula>"Bajo"</formula>
    </cfRule>
  </conditionalFormatting>
  <conditionalFormatting sqref="N127:N129">
    <cfRule type="containsText" dxfId="752" priority="939" operator="containsText" text="❌">
      <formula>NOT(ISERROR(SEARCH("❌",N127)))</formula>
    </cfRule>
  </conditionalFormatting>
  <conditionalFormatting sqref="AB127:AB129">
    <cfRule type="cellIs" dxfId="751" priority="934" operator="equal">
      <formula>"Muy Alta"</formula>
    </cfRule>
    <cfRule type="cellIs" dxfId="750" priority="935" operator="equal">
      <formula>"Alta"</formula>
    </cfRule>
    <cfRule type="cellIs" dxfId="749" priority="936" operator="equal">
      <formula>"Media"</formula>
    </cfRule>
    <cfRule type="cellIs" dxfId="748" priority="937" operator="equal">
      <formula>"Baja"</formula>
    </cfRule>
    <cfRule type="cellIs" dxfId="747" priority="938" operator="equal">
      <formula>"Muy Baja"</formula>
    </cfRule>
  </conditionalFormatting>
  <conditionalFormatting sqref="AD127:AD129">
    <cfRule type="cellIs" dxfId="746" priority="929" operator="equal">
      <formula>"Catastrófico"</formula>
    </cfRule>
    <cfRule type="cellIs" dxfId="745" priority="930" operator="equal">
      <formula>"Mayor"</formula>
    </cfRule>
    <cfRule type="cellIs" dxfId="744" priority="931" operator="equal">
      <formula>"Moderado"</formula>
    </cfRule>
    <cfRule type="cellIs" dxfId="743" priority="932" operator="equal">
      <formula>"Menor"</formula>
    </cfRule>
    <cfRule type="cellIs" dxfId="742" priority="933" operator="equal">
      <formula>"Leve"</formula>
    </cfRule>
  </conditionalFormatting>
  <conditionalFormatting sqref="AF127:AF129">
    <cfRule type="cellIs" dxfId="741" priority="925" operator="equal">
      <formula>"Extremo"</formula>
    </cfRule>
    <cfRule type="cellIs" dxfId="740" priority="926" operator="equal">
      <formula>"Alto"</formula>
    </cfRule>
    <cfRule type="cellIs" dxfId="739" priority="927" operator="equal">
      <formula>"Moderado"</formula>
    </cfRule>
    <cfRule type="cellIs" dxfId="738" priority="928" operator="equal">
      <formula>"Bajo"</formula>
    </cfRule>
  </conditionalFormatting>
  <conditionalFormatting sqref="N127:N129">
    <cfRule type="containsText" dxfId="737" priority="924" operator="containsText" text="❌">
      <formula>NOT(ISERROR(SEARCH("❌",N127)))</formula>
    </cfRule>
  </conditionalFormatting>
  <conditionalFormatting sqref="AB130">
    <cfRule type="cellIs" dxfId="736" priority="919" operator="equal">
      <formula>"Muy Alta"</formula>
    </cfRule>
    <cfRule type="cellIs" dxfId="735" priority="920" operator="equal">
      <formula>"Alta"</formula>
    </cfRule>
    <cfRule type="cellIs" dxfId="734" priority="921" operator="equal">
      <formula>"Media"</formula>
    </cfRule>
    <cfRule type="cellIs" dxfId="733" priority="922" operator="equal">
      <formula>"Baja"</formula>
    </cfRule>
    <cfRule type="cellIs" dxfId="732" priority="923" operator="equal">
      <formula>"Muy Baja"</formula>
    </cfRule>
  </conditionalFormatting>
  <conditionalFormatting sqref="AD130">
    <cfRule type="cellIs" dxfId="731" priority="914" operator="equal">
      <formula>"Catastrófico"</formula>
    </cfRule>
    <cfRule type="cellIs" dxfId="730" priority="915" operator="equal">
      <formula>"Mayor"</formula>
    </cfRule>
    <cfRule type="cellIs" dxfId="729" priority="916" operator="equal">
      <formula>"Moderado"</formula>
    </cfRule>
    <cfRule type="cellIs" dxfId="728" priority="917" operator="equal">
      <formula>"Menor"</formula>
    </cfRule>
    <cfRule type="cellIs" dxfId="727" priority="918" operator="equal">
      <formula>"Leve"</formula>
    </cfRule>
  </conditionalFormatting>
  <conditionalFormatting sqref="AF130">
    <cfRule type="cellIs" dxfId="726" priority="910" operator="equal">
      <formula>"Extremo"</formula>
    </cfRule>
    <cfRule type="cellIs" dxfId="725" priority="911" operator="equal">
      <formula>"Alto"</formula>
    </cfRule>
    <cfRule type="cellIs" dxfId="724" priority="912" operator="equal">
      <formula>"Moderado"</formula>
    </cfRule>
    <cfRule type="cellIs" dxfId="723" priority="913" operator="equal">
      <formula>"Bajo"</formula>
    </cfRule>
  </conditionalFormatting>
  <conditionalFormatting sqref="AB131">
    <cfRule type="cellIs" dxfId="722" priority="905" operator="equal">
      <formula>"Muy Alta"</formula>
    </cfRule>
    <cfRule type="cellIs" dxfId="721" priority="906" operator="equal">
      <formula>"Alta"</formula>
    </cfRule>
    <cfRule type="cellIs" dxfId="720" priority="907" operator="equal">
      <formula>"Media"</formula>
    </cfRule>
    <cfRule type="cellIs" dxfId="719" priority="908" operator="equal">
      <formula>"Baja"</formula>
    </cfRule>
    <cfRule type="cellIs" dxfId="718" priority="909" operator="equal">
      <formula>"Muy Baja"</formula>
    </cfRule>
  </conditionalFormatting>
  <conditionalFormatting sqref="AD131">
    <cfRule type="cellIs" dxfId="717" priority="900" operator="equal">
      <formula>"Catastrófico"</formula>
    </cfRule>
    <cfRule type="cellIs" dxfId="716" priority="901" operator="equal">
      <formula>"Mayor"</formula>
    </cfRule>
    <cfRule type="cellIs" dxfId="715" priority="902" operator="equal">
      <formula>"Moderado"</formula>
    </cfRule>
    <cfRule type="cellIs" dxfId="714" priority="903" operator="equal">
      <formula>"Menor"</formula>
    </cfRule>
    <cfRule type="cellIs" dxfId="713" priority="904" operator="equal">
      <formula>"Leve"</formula>
    </cfRule>
  </conditionalFormatting>
  <conditionalFormatting sqref="AF131">
    <cfRule type="cellIs" dxfId="712" priority="896" operator="equal">
      <formula>"Extremo"</formula>
    </cfRule>
    <cfRule type="cellIs" dxfId="711" priority="897" operator="equal">
      <formula>"Alto"</formula>
    </cfRule>
    <cfRule type="cellIs" dxfId="710" priority="898" operator="equal">
      <formula>"Moderado"</formula>
    </cfRule>
    <cfRule type="cellIs" dxfId="709" priority="899" operator="equal">
      <formula>"Bajo"</formula>
    </cfRule>
  </conditionalFormatting>
  <conditionalFormatting sqref="AB132">
    <cfRule type="cellIs" dxfId="708" priority="891" operator="equal">
      <formula>"Muy Alta"</formula>
    </cfRule>
    <cfRule type="cellIs" dxfId="707" priority="892" operator="equal">
      <formula>"Alta"</formula>
    </cfRule>
    <cfRule type="cellIs" dxfId="706" priority="893" operator="equal">
      <formula>"Media"</formula>
    </cfRule>
    <cfRule type="cellIs" dxfId="705" priority="894" operator="equal">
      <formula>"Baja"</formula>
    </cfRule>
    <cfRule type="cellIs" dxfId="704" priority="895" operator="equal">
      <formula>"Muy Baja"</formula>
    </cfRule>
  </conditionalFormatting>
  <conditionalFormatting sqref="AD132">
    <cfRule type="cellIs" dxfId="703" priority="886" operator="equal">
      <formula>"Catastrófico"</formula>
    </cfRule>
    <cfRule type="cellIs" dxfId="702" priority="887" operator="equal">
      <formula>"Mayor"</formula>
    </cfRule>
    <cfRule type="cellIs" dxfId="701" priority="888" operator="equal">
      <formula>"Moderado"</formula>
    </cfRule>
    <cfRule type="cellIs" dxfId="700" priority="889" operator="equal">
      <formula>"Menor"</formula>
    </cfRule>
    <cfRule type="cellIs" dxfId="699" priority="890" operator="equal">
      <formula>"Leve"</formula>
    </cfRule>
  </conditionalFormatting>
  <conditionalFormatting sqref="AF132">
    <cfRule type="cellIs" dxfId="698" priority="882" operator="equal">
      <formula>"Extremo"</formula>
    </cfRule>
    <cfRule type="cellIs" dxfId="697" priority="883" operator="equal">
      <formula>"Alto"</formula>
    </cfRule>
    <cfRule type="cellIs" dxfId="696" priority="884" operator="equal">
      <formula>"Moderado"</formula>
    </cfRule>
    <cfRule type="cellIs" dxfId="695" priority="885" operator="equal">
      <formula>"Bajo"</formula>
    </cfRule>
  </conditionalFormatting>
  <conditionalFormatting sqref="K130">
    <cfRule type="cellIs" dxfId="694" priority="877" operator="equal">
      <formula>"Muy Alta"</formula>
    </cfRule>
    <cfRule type="cellIs" dxfId="693" priority="878" operator="equal">
      <formula>"Alta"</formula>
    </cfRule>
    <cfRule type="cellIs" dxfId="692" priority="879" operator="equal">
      <formula>"Media"</formula>
    </cfRule>
    <cfRule type="cellIs" dxfId="691" priority="880" operator="equal">
      <formula>"Baja"</formula>
    </cfRule>
    <cfRule type="cellIs" dxfId="690" priority="881" operator="equal">
      <formula>"Muy Baja"</formula>
    </cfRule>
  </conditionalFormatting>
  <conditionalFormatting sqref="O130">
    <cfRule type="cellIs" dxfId="689" priority="872" operator="equal">
      <formula>"Catastrófico"</formula>
    </cfRule>
    <cfRule type="cellIs" dxfId="688" priority="873" operator="equal">
      <formula>"Mayor"</formula>
    </cfRule>
    <cfRule type="cellIs" dxfId="687" priority="874" operator="equal">
      <formula>"Moderado"</formula>
    </cfRule>
    <cfRule type="cellIs" dxfId="686" priority="875" operator="equal">
      <formula>"Menor"</formula>
    </cfRule>
    <cfRule type="cellIs" dxfId="685" priority="876" operator="equal">
      <formula>"Leve"</formula>
    </cfRule>
  </conditionalFormatting>
  <conditionalFormatting sqref="Q130">
    <cfRule type="cellIs" dxfId="684" priority="868" operator="equal">
      <formula>"Extremo"</formula>
    </cfRule>
    <cfRule type="cellIs" dxfId="683" priority="869" operator="equal">
      <formula>"Alto"</formula>
    </cfRule>
    <cfRule type="cellIs" dxfId="682" priority="870" operator="equal">
      <formula>"Moderado"</formula>
    </cfRule>
    <cfRule type="cellIs" dxfId="681" priority="871" operator="equal">
      <formula>"Bajo"</formula>
    </cfRule>
  </conditionalFormatting>
  <conditionalFormatting sqref="N130:N132">
    <cfRule type="containsText" dxfId="680" priority="867" operator="containsText" text="❌">
      <formula>NOT(ISERROR(SEARCH("❌",N130)))</formula>
    </cfRule>
  </conditionalFormatting>
  <conditionalFormatting sqref="AB130:AB132">
    <cfRule type="cellIs" dxfId="679" priority="862" operator="equal">
      <formula>"Muy Alta"</formula>
    </cfRule>
    <cfRule type="cellIs" dxfId="678" priority="863" operator="equal">
      <formula>"Alta"</formula>
    </cfRule>
    <cfRule type="cellIs" dxfId="677" priority="864" operator="equal">
      <formula>"Media"</formula>
    </cfRule>
    <cfRule type="cellIs" dxfId="676" priority="865" operator="equal">
      <formula>"Baja"</formula>
    </cfRule>
    <cfRule type="cellIs" dxfId="675" priority="866" operator="equal">
      <formula>"Muy Baja"</formula>
    </cfRule>
  </conditionalFormatting>
  <conditionalFormatting sqref="AD130:AD132">
    <cfRule type="cellIs" dxfId="674" priority="857" operator="equal">
      <formula>"Catastrófico"</formula>
    </cfRule>
    <cfRule type="cellIs" dxfId="673" priority="858" operator="equal">
      <formula>"Mayor"</formula>
    </cfRule>
    <cfRule type="cellIs" dxfId="672" priority="859" operator="equal">
      <formula>"Moderado"</formula>
    </cfRule>
    <cfRule type="cellIs" dxfId="671" priority="860" operator="equal">
      <formula>"Menor"</formula>
    </cfRule>
    <cfRule type="cellIs" dxfId="670" priority="861" operator="equal">
      <formula>"Leve"</formula>
    </cfRule>
  </conditionalFormatting>
  <conditionalFormatting sqref="AF130:AF132">
    <cfRule type="cellIs" dxfId="669" priority="853" operator="equal">
      <formula>"Extremo"</formula>
    </cfRule>
    <cfRule type="cellIs" dxfId="668" priority="854" operator="equal">
      <formula>"Alto"</formula>
    </cfRule>
    <cfRule type="cellIs" dxfId="667" priority="855" operator="equal">
      <formula>"Moderado"</formula>
    </cfRule>
    <cfRule type="cellIs" dxfId="666" priority="856" operator="equal">
      <formula>"Bajo"</formula>
    </cfRule>
  </conditionalFormatting>
  <conditionalFormatting sqref="N130:N132">
    <cfRule type="containsText" dxfId="665" priority="852" operator="containsText" text="❌">
      <formula>NOT(ISERROR(SEARCH("❌",N130)))</formula>
    </cfRule>
  </conditionalFormatting>
  <conditionalFormatting sqref="AB133">
    <cfRule type="cellIs" dxfId="664" priority="847" operator="equal">
      <formula>"Muy Alta"</formula>
    </cfRule>
    <cfRule type="cellIs" dxfId="663" priority="848" operator="equal">
      <formula>"Alta"</formula>
    </cfRule>
    <cfRule type="cellIs" dxfId="662" priority="849" operator="equal">
      <formula>"Media"</formula>
    </cfRule>
    <cfRule type="cellIs" dxfId="661" priority="850" operator="equal">
      <formula>"Baja"</formula>
    </cfRule>
    <cfRule type="cellIs" dxfId="660" priority="851" operator="equal">
      <formula>"Muy Baja"</formula>
    </cfRule>
  </conditionalFormatting>
  <conditionalFormatting sqref="AD133">
    <cfRule type="cellIs" dxfId="659" priority="842" operator="equal">
      <formula>"Catastrófico"</formula>
    </cfRule>
    <cfRule type="cellIs" dxfId="658" priority="843" operator="equal">
      <formula>"Mayor"</formula>
    </cfRule>
    <cfRule type="cellIs" dxfId="657" priority="844" operator="equal">
      <formula>"Moderado"</formula>
    </cfRule>
    <cfRule type="cellIs" dxfId="656" priority="845" operator="equal">
      <formula>"Menor"</formula>
    </cfRule>
    <cfRule type="cellIs" dxfId="655" priority="846" operator="equal">
      <formula>"Leve"</formula>
    </cfRule>
  </conditionalFormatting>
  <conditionalFormatting sqref="AF133">
    <cfRule type="cellIs" dxfId="654" priority="838" operator="equal">
      <formula>"Extremo"</formula>
    </cfRule>
    <cfRule type="cellIs" dxfId="653" priority="839" operator="equal">
      <formula>"Alto"</formula>
    </cfRule>
    <cfRule type="cellIs" dxfId="652" priority="840" operator="equal">
      <formula>"Moderado"</formula>
    </cfRule>
    <cfRule type="cellIs" dxfId="651" priority="841" operator="equal">
      <formula>"Bajo"</formula>
    </cfRule>
  </conditionalFormatting>
  <conditionalFormatting sqref="AB134">
    <cfRule type="cellIs" dxfId="650" priority="833" operator="equal">
      <formula>"Muy Alta"</formula>
    </cfRule>
    <cfRule type="cellIs" dxfId="649" priority="834" operator="equal">
      <formula>"Alta"</formula>
    </cfRule>
    <cfRule type="cellIs" dxfId="648" priority="835" operator="equal">
      <formula>"Media"</formula>
    </cfRule>
    <cfRule type="cellIs" dxfId="647" priority="836" operator="equal">
      <formula>"Baja"</formula>
    </cfRule>
    <cfRule type="cellIs" dxfId="646" priority="837" operator="equal">
      <formula>"Muy Baja"</formula>
    </cfRule>
  </conditionalFormatting>
  <conditionalFormatting sqref="AD134">
    <cfRule type="cellIs" dxfId="645" priority="828" operator="equal">
      <formula>"Catastrófico"</formula>
    </cfRule>
    <cfRule type="cellIs" dxfId="644" priority="829" operator="equal">
      <formula>"Mayor"</formula>
    </cfRule>
    <cfRule type="cellIs" dxfId="643" priority="830" operator="equal">
      <formula>"Moderado"</formula>
    </cfRule>
    <cfRule type="cellIs" dxfId="642" priority="831" operator="equal">
      <formula>"Menor"</formula>
    </cfRule>
    <cfRule type="cellIs" dxfId="641" priority="832" operator="equal">
      <formula>"Leve"</formula>
    </cfRule>
  </conditionalFormatting>
  <conditionalFormatting sqref="AF134">
    <cfRule type="cellIs" dxfId="640" priority="824" operator="equal">
      <formula>"Extremo"</formula>
    </cfRule>
    <cfRule type="cellIs" dxfId="639" priority="825" operator="equal">
      <formula>"Alto"</formula>
    </cfRule>
    <cfRule type="cellIs" dxfId="638" priority="826" operator="equal">
      <formula>"Moderado"</formula>
    </cfRule>
    <cfRule type="cellIs" dxfId="637" priority="827" operator="equal">
      <formula>"Bajo"</formula>
    </cfRule>
  </conditionalFormatting>
  <conditionalFormatting sqref="AB135">
    <cfRule type="cellIs" dxfId="636" priority="819" operator="equal">
      <formula>"Muy Alta"</formula>
    </cfRule>
    <cfRule type="cellIs" dxfId="635" priority="820" operator="equal">
      <formula>"Alta"</formula>
    </cfRule>
    <cfRule type="cellIs" dxfId="634" priority="821" operator="equal">
      <formula>"Media"</formula>
    </cfRule>
    <cfRule type="cellIs" dxfId="633" priority="822" operator="equal">
      <formula>"Baja"</formula>
    </cfRule>
    <cfRule type="cellIs" dxfId="632" priority="823" operator="equal">
      <formula>"Muy Baja"</formula>
    </cfRule>
  </conditionalFormatting>
  <conditionalFormatting sqref="AD135">
    <cfRule type="cellIs" dxfId="631" priority="814" operator="equal">
      <formula>"Catastrófico"</formula>
    </cfRule>
    <cfRule type="cellIs" dxfId="630" priority="815" operator="equal">
      <formula>"Mayor"</formula>
    </cfRule>
    <cfRule type="cellIs" dxfId="629" priority="816" operator="equal">
      <formula>"Moderado"</formula>
    </cfRule>
    <cfRule type="cellIs" dxfId="628" priority="817" operator="equal">
      <formula>"Menor"</formula>
    </cfRule>
    <cfRule type="cellIs" dxfId="627" priority="818" operator="equal">
      <formula>"Leve"</formula>
    </cfRule>
  </conditionalFormatting>
  <conditionalFormatting sqref="AF135">
    <cfRule type="cellIs" dxfId="626" priority="810" operator="equal">
      <formula>"Extremo"</formula>
    </cfRule>
    <cfRule type="cellIs" dxfId="625" priority="811" operator="equal">
      <formula>"Alto"</formula>
    </cfRule>
    <cfRule type="cellIs" dxfId="624" priority="812" operator="equal">
      <formula>"Moderado"</formula>
    </cfRule>
    <cfRule type="cellIs" dxfId="623" priority="813" operator="equal">
      <formula>"Bajo"</formula>
    </cfRule>
  </conditionalFormatting>
  <conditionalFormatting sqref="K133">
    <cfRule type="cellIs" dxfId="622" priority="805" operator="equal">
      <formula>"Muy Alta"</formula>
    </cfRule>
    <cfRule type="cellIs" dxfId="621" priority="806" operator="equal">
      <formula>"Alta"</formula>
    </cfRule>
    <cfRule type="cellIs" dxfId="620" priority="807" operator="equal">
      <formula>"Media"</formula>
    </cfRule>
    <cfRule type="cellIs" dxfId="619" priority="808" operator="equal">
      <formula>"Baja"</formula>
    </cfRule>
    <cfRule type="cellIs" dxfId="618" priority="809" operator="equal">
      <formula>"Muy Baja"</formula>
    </cfRule>
  </conditionalFormatting>
  <conditionalFormatting sqref="O133">
    <cfRule type="cellIs" dxfId="617" priority="800" operator="equal">
      <formula>"Catastrófico"</formula>
    </cfRule>
    <cfRule type="cellIs" dxfId="616" priority="801" operator="equal">
      <formula>"Mayor"</formula>
    </cfRule>
    <cfRule type="cellIs" dxfId="615" priority="802" operator="equal">
      <formula>"Moderado"</formula>
    </cfRule>
    <cfRule type="cellIs" dxfId="614" priority="803" operator="equal">
      <formula>"Menor"</formula>
    </cfRule>
    <cfRule type="cellIs" dxfId="613" priority="804" operator="equal">
      <formula>"Leve"</formula>
    </cfRule>
  </conditionalFormatting>
  <conditionalFormatting sqref="Q133">
    <cfRule type="cellIs" dxfId="612" priority="796" operator="equal">
      <formula>"Extremo"</formula>
    </cfRule>
    <cfRule type="cellIs" dxfId="611" priority="797" operator="equal">
      <formula>"Alto"</formula>
    </cfRule>
    <cfRule type="cellIs" dxfId="610" priority="798" operator="equal">
      <formula>"Moderado"</formula>
    </cfRule>
    <cfRule type="cellIs" dxfId="609" priority="799" operator="equal">
      <formula>"Bajo"</formula>
    </cfRule>
  </conditionalFormatting>
  <conditionalFormatting sqref="N133:N135">
    <cfRule type="containsText" dxfId="608" priority="795" operator="containsText" text="❌">
      <formula>NOT(ISERROR(SEARCH("❌",N133)))</formula>
    </cfRule>
  </conditionalFormatting>
  <conditionalFormatting sqref="AB133:AB135">
    <cfRule type="cellIs" dxfId="607" priority="790" operator="equal">
      <formula>"Muy Alta"</formula>
    </cfRule>
    <cfRule type="cellIs" dxfId="606" priority="791" operator="equal">
      <formula>"Alta"</formula>
    </cfRule>
    <cfRule type="cellIs" dxfId="605" priority="792" operator="equal">
      <formula>"Media"</formula>
    </cfRule>
    <cfRule type="cellIs" dxfId="604" priority="793" operator="equal">
      <formula>"Baja"</formula>
    </cfRule>
    <cfRule type="cellIs" dxfId="603" priority="794" operator="equal">
      <formula>"Muy Baja"</formula>
    </cfRule>
  </conditionalFormatting>
  <conditionalFormatting sqref="AD133:AD135">
    <cfRule type="cellIs" dxfId="602" priority="785" operator="equal">
      <formula>"Catastrófico"</formula>
    </cfRule>
    <cfRule type="cellIs" dxfId="601" priority="786" operator="equal">
      <formula>"Mayor"</formula>
    </cfRule>
    <cfRule type="cellIs" dxfId="600" priority="787" operator="equal">
      <formula>"Moderado"</formula>
    </cfRule>
    <cfRule type="cellIs" dxfId="599" priority="788" operator="equal">
      <formula>"Menor"</formula>
    </cfRule>
    <cfRule type="cellIs" dxfId="598" priority="789" operator="equal">
      <formula>"Leve"</formula>
    </cfRule>
  </conditionalFormatting>
  <conditionalFormatting sqref="AF133:AF135">
    <cfRule type="cellIs" dxfId="597" priority="781" operator="equal">
      <formula>"Extremo"</formula>
    </cfRule>
    <cfRule type="cellIs" dxfId="596" priority="782" operator="equal">
      <formula>"Alto"</formula>
    </cfRule>
    <cfRule type="cellIs" dxfId="595" priority="783" operator="equal">
      <formula>"Moderado"</formula>
    </cfRule>
    <cfRule type="cellIs" dxfId="594" priority="784" operator="equal">
      <formula>"Bajo"</formula>
    </cfRule>
  </conditionalFormatting>
  <conditionalFormatting sqref="N133:N135">
    <cfRule type="containsText" dxfId="593" priority="780" operator="containsText" text="❌">
      <formula>NOT(ISERROR(SEARCH("❌",N133)))</formula>
    </cfRule>
  </conditionalFormatting>
  <conditionalFormatting sqref="AB136">
    <cfRule type="cellIs" dxfId="592" priority="703" operator="equal">
      <formula>"Muy Alta"</formula>
    </cfRule>
    <cfRule type="cellIs" dxfId="591" priority="704" operator="equal">
      <formula>"Alta"</formula>
    </cfRule>
    <cfRule type="cellIs" dxfId="590" priority="705" operator="equal">
      <formula>"Media"</formula>
    </cfRule>
    <cfRule type="cellIs" dxfId="589" priority="706" operator="equal">
      <formula>"Baja"</formula>
    </cfRule>
    <cfRule type="cellIs" dxfId="588" priority="707" operator="equal">
      <formula>"Muy Baja"</formula>
    </cfRule>
  </conditionalFormatting>
  <conditionalFormatting sqref="AD136">
    <cfRule type="cellIs" dxfId="587" priority="698" operator="equal">
      <formula>"Catastrófico"</formula>
    </cfRule>
    <cfRule type="cellIs" dxfId="586" priority="699" operator="equal">
      <formula>"Mayor"</formula>
    </cfRule>
    <cfRule type="cellIs" dxfId="585" priority="700" operator="equal">
      <formula>"Moderado"</formula>
    </cfRule>
    <cfRule type="cellIs" dxfId="584" priority="701" operator="equal">
      <formula>"Menor"</formula>
    </cfRule>
    <cfRule type="cellIs" dxfId="583" priority="702" operator="equal">
      <formula>"Leve"</formula>
    </cfRule>
  </conditionalFormatting>
  <conditionalFormatting sqref="AF136">
    <cfRule type="cellIs" dxfId="582" priority="694" operator="equal">
      <formula>"Extremo"</formula>
    </cfRule>
    <cfRule type="cellIs" dxfId="581" priority="695" operator="equal">
      <formula>"Alto"</formula>
    </cfRule>
    <cfRule type="cellIs" dxfId="580" priority="696" operator="equal">
      <formula>"Moderado"</formula>
    </cfRule>
    <cfRule type="cellIs" dxfId="579" priority="697" operator="equal">
      <formula>"Bajo"</formula>
    </cfRule>
  </conditionalFormatting>
  <conditionalFormatting sqref="AB137">
    <cfRule type="cellIs" dxfId="578" priority="689" operator="equal">
      <formula>"Muy Alta"</formula>
    </cfRule>
    <cfRule type="cellIs" dxfId="577" priority="690" operator="equal">
      <formula>"Alta"</formula>
    </cfRule>
    <cfRule type="cellIs" dxfId="576" priority="691" operator="equal">
      <formula>"Media"</formula>
    </cfRule>
    <cfRule type="cellIs" dxfId="575" priority="692" operator="equal">
      <formula>"Baja"</formula>
    </cfRule>
    <cfRule type="cellIs" dxfId="574" priority="693" operator="equal">
      <formula>"Muy Baja"</formula>
    </cfRule>
  </conditionalFormatting>
  <conditionalFormatting sqref="AD137">
    <cfRule type="cellIs" dxfId="573" priority="684" operator="equal">
      <formula>"Catastrófico"</formula>
    </cfRule>
    <cfRule type="cellIs" dxfId="572" priority="685" operator="equal">
      <formula>"Mayor"</formula>
    </cfRule>
    <cfRule type="cellIs" dxfId="571" priority="686" operator="equal">
      <formula>"Moderado"</formula>
    </cfRule>
    <cfRule type="cellIs" dxfId="570" priority="687" operator="equal">
      <formula>"Menor"</formula>
    </cfRule>
    <cfRule type="cellIs" dxfId="569" priority="688" operator="equal">
      <formula>"Leve"</formula>
    </cfRule>
  </conditionalFormatting>
  <conditionalFormatting sqref="AF137">
    <cfRule type="cellIs" dxfId="568" priority="680" operator="equal">
      <formula>"Extremo"</formula>
    </cfRule>
    <cfRule type="cellIs" dxfId="567" priority="681" operator="equal">
      <formula>"Alto"</formula>
    </cfRule>
    <cfRule type="cellIs" dxfId="566" priority="682" operator="equal">
      <formula>"Moderado"</formula>
    </cfRule>
    <cfRule type="cellIs" dxfId="565" priority="683" operator="equal">
      <formula>"Bajo"</formula>
    </cfRule>
  </conditionalFormatting>
  <conditionalFormatting sqref="AB138">
    <cfRule type="cellIs" dxfId="564" priority="675" operator="equal">
      <formula>"Muy Alta"</formula>
    </cfRule>
    <cfRule type="cellIs" dxfId="563" priority="676" operator="equal">
      <formula>"Alta"</formula>
    </cfRule>
    <cfRule type="cellIs" dxfId="562" priority="677" operator="equal">
      <formula>"Media"</formula>
    </cfRule>
    <cfRule type="cellIs" dxfId="561" priority="678" operator="equal">
      <formula>"Baja"</formula>
    </cfRule>
    <cfRule type="cellIs" dxfId="560" priority="679" operator="equal">
      <formula>"Muy Baja"</formula>
    </cfRule>
  </conditionalFormatting>
  <conditionalFormatting sqref="AD138">
    <cfRule type="cellIs" dxfId="559" priority="670" operator="equal">
      <formula>"Catastrófico"</formula>
    </cfRule>
    <cfRule type="cellIs" dxfId="558" priority="671" operator="equal">
      <formula>"Mayor"</formula>
    </cfRule>
    <cfRule type="cellIs" dxfId="557" priority="672" operator="equal">
      <formula>"Moderado"</formula>
    </cfRule>
    <cfRule type="cellIs" dxfId="556" priority="673" operator="equal">
      <formula>"Menor"</formula>
    </cfRule>
    <cfRule type="cellIs" dxfId="555" priority="674" operator="equal">
      <formula>"Leve"</formula>
    </cfRule>
  </conditionalFormatting>
  <conditionalFormatting sqref="AF138">
    <cfRule type="cellIs" dxfId="554" priority="666" operator="equal">
      <formula>"Extremo"</formula>
    </cfRule>
    <cfRule type="cellIs" dxfId="553" priority="667" operator="equal">
      <formula>"Alto"</formula>
    </cfRule>
    <cfRule type="cellIs" dxfId="552" priority="668" operator="equal">
      <formula>"Moderado"</formula>
    </cfRule>
    <cfRule type="cellIs" dxfId="551" priority="669" operator="equal">
      <formula>"Bajo"</formula>
    </cfRule>
  </conditionalFormatting>
  <conditionalFormatting sqref="K136">
    <cfRule type="cellIs" dxfId="550" priority="661" operator="equal">
      <formula>"Muy Alta"</formula>
    </cfRule>
    <cfRule type="cellIs" dxfId="549" priority="662" operator="equal">
      <formula>"Alta"</formula>
    </cfRule>
    <cfRule type="cellIs" dxfId="548" priority="663" operator="equal">
      <formula>"Media"</formula>
    </cfRule>
    <cfRule type="cellIs" dxfId="547" priority="664" operator="equal">
      <formula>"Baja"</formula>
    </cfRule>
    <cfRule type="cellIs" dxfId="546" priority="665" operator="equal">
      <formula>"Muy Baja"</formula>
    </cfRule>
  </conditionalFormatting>
  <conditionalFormatting sqref="O136">
    <cfRule type="cellIs" dxfId="545" priority="656" operator="equal">
      <formula>"Catastrófico"</formula>
    </cfRule>
    <cfRule type="cellIs" dxfId="544" priority="657" operator="equal">
      <formula>"Mayor"</formula>
    </cfRule>
    <cfRule type="cellIs" dxfId="543" priority="658" operator="equal">
      <formula>"Moderado"</formula>
    </cfRule>
    <cfRule type="cellIs" dxfId="542" priority="659" operator="equal">
      <formula>"Menor"</formula>
    </cfRule>
    <cfRule type="cellIs" dxfId="541" priority="660" operator="equal">
      <formula>"Leve"</formula>
    </cfRule>
  </conditionalFormatting>
  <conditionalFormatting sqref="Q136">
    <cfRule type="cellIs" dxfId="540" priority="652" operator="equal">
      <formula>"Extremo"</formula>
    </cfRule>
    <cfRule type="cellIs" dxfId="539" priority="653" operator="equal">
      <formula>"Alto"</formula>
    </cfRule>
    <cfRule type="cellIs" dxfId="538" priority="654" operator="equal">
      <formula>"Moderado"</formula>
    </cfRule>
    <cfRule type="cellIs" dxfId="537" priority="655" operator="equal">
      <formula>"Bajo"</formula>
    </cfRule>
  </conditionalFormatting>
  <conditionalFormatting sqref="N136:N138">
    <cfRule type="containsText" dxfId="536" priority="651" operator="containsText" text="❌">
      <formula>NOT(ISERROR(SEARCH("❌",N136)))</formula>
    </cfRule>
  </conditionalFormatting>
  <conditionalFormatting sqref="AB136:AB138">
    <cfRule type="cellIs" dxfId="535" priority="646" operator="equal">
      <formula>"Muy Alta"</formula>
    </cfRule>
    <cfRule type="cellIs" dxfId="534" priority="647" operator="equal">
      <formula>"Alta"</formula>
    </cfRule>
    <cfRule type="cellIs" dxfId="533" priority="648" operator="equal">
      <formula>"Media"</formula>
    </cfRule>
    <cfRule type="cellIs" dxfId="532" priority="649" operator="equal">
      <formula>"Baja"</formula>
    </cfRule>
    <cfRule type="cellIs" dxfId="531" priority="650" operator="equal">
      <formula>"Muy Baja"</formula>
    </cfRule>
  </conditionalFormatting>
  <conditionalFormatting sqref="AD136:AD138">
    <cfRule type="cellIs" dxfId="530" priority="641" operator="equal">
      <formula>"Catastrófico"</formula>
    </cfRule>
    <cfRule type="cellIs" dxfId="529" priority="642" operator="equal">
      <formula>"Mayor"</formula>
    </cfRule>
    <cfRule type="cellIs" dxfId="528" priority="643" operator="equal">
      <formula>"Moderado"</formula>
    </cfRule>
    <cfRule type="cellIs" dxfId="527" priority="644" operator="equal">
      <formula>"Menor"</formula>
    </cfRule>
    <cfRule type="cellIs" dxfId="526" priority="645" operator="equal">
      <formula>"Leve"</formula>
    </cfRule>
  </conditionalFormatting>
  <conditionalFormatting sqref="AF136:AF138">
    <cfRule type="cellIs" dxfId="525" priority="637" operator="equal">
      <formula>"Extremo"</formula>
    </cfRule>
    <cfRule type="cellIs" dxfId="524" priority="638" operator="equal">
      <formula>"Alto"</formula>
    </cfRule>
    <cfRule type="cellIs" dxfId="523" priority="639" operator="equal">
      <formula>"Moderado"</formula>
    </cfRule>
    <cfRule type="cellIs" dxfId="522" priority="640" operator="equal">
      <formula>"Bajo"</formula>
    </cfRule>
  </conditionalFormatting>
  <conditionalFormatting sqref="N136:N138">
    <cfRule type="containsText" dxfId="521" priority="636" operator="containsText" text="❌">
      <formula>NOT(ISERROR(SEARCH("❌",N136)))</formula>
    </cfRule>
  </conditionalFormatting>
  <conditionalFormatting sqref="AB139">
    <cfRule type="cellIs" dxfId="520" priority="631" operator="equal">
      <formula>"Muy Alta"</formula>
    </cfRule>
    <cfRule type="cellIs" dxfId="519" priority="632" operator="equal">
      <formula>"Alta"</formula>
    </cfRule>
    <cfRule type="cellIs" dxfId="518" priority="633" operator="equal">
      <formula>"Media"</formula>
    </cfRule>
    <cfRule type="cellIs" dxfId="517" priority="634" operator="equal">
      <formula>"Baja"</formula>
    </cfRule>
    <cfRule type="cellIs" dxfId="516" priority="635" operator="equal">
      <formula>"Muy Baja"</formula>
    </cfRule>
  </conditionalFormatting>
  <conditionalFormatting sqref="AD139">
    <cfRule type="cellIs" dxfId="515" priority="626" operator="equal">
      <formula>"Catastrófico"</formula>
    </cfRule>
    <cfRule type="cellIs" dxfId="514" priority="627" operator="equal">
      <formula>"Mayor"</formula>
    </cfRule>
    <cfRule type="cellIs" dxfId="513" priority="628" operator="equal">
      <formula>"Moderado"</formula>
    </cfRule>
    <cfRule type="cellIs" dxfId="512" priority="629" operator="equal">
      <formula>"Menor"</formula>
    </cfRule>
    <cfRule type="cellIs" dxfId="511" priority="630" operator="equal">
      <formula>"Leve"</formula>
    </cfRule>
  </conditionalFormatting>
  <conditionalFormatting sqref="AF139">
    <cfRule type="cellIs" dxfId="510" priority="622" operator="equal">
      <formula>"Extremo"</formula>
    </cfRule>
    <cfRule type="cellIs" dxfId="509" priority="623" operator="equal">
      <formula>"Alto"</formula>
    </cfRule>
    <cfRule type="cellIs" dxfId="508" priority="624" operator="equal">
      <formula>"Moderado"</formula>
    </cfRule>
    <cfRule type="cellIs" dxfId="507" priority="625" operator="equal">
      <formula>"Bajo"</formula>
    </cfRule>
  </conditionalFormatting>
  <conditionalFormatting sqref="AB140">
    <cfRule type="cellIs" dxfId="506" priority="617" operator="equal">
      <formula>"Muy Alta"</formula>
    </cfRule>
    <cfRule type="cellIs" dxfId="505" priority="618" operator="equal">
      <formula>"Alta"</formula>
    </cfRule>
    <cfRule type="cellIs" dxfId="504" priority="619" operator="equal">
      <formula>"Media"</formula>
    </cfRule>
    <cfRule type="cellIs" dxfId="503" priority="620" operator="equal">
      <formula>"Baja"</formula>
    </cfRule>
    <cfRule type="cellIs" dxfId="502" priority="621" operator="equal">
      <formula>"Muy Baja"</formula>
    </cfRule>
  </conditionalFormatting>
  <conditionalFormatting sqref="AD140">
    <cfRule type="cellIs" dxfId="501" priority="612" operator="equal">
      <formula>"Catastrófico"</formula>
    </cfRule>
    <cfRule type="cellIs" dxfId="500" priority="613" operator="equal">
      <formula>"Mayor"</formula>
    </cfRule>
    <cfRule type="cellIs" dxfId="499" priority="614" operator="equal">
      <formula>"Moderado"</formula>
    </cfRule>
    <cfRule type="cellIs" dxfId="498" priority="615" operator="equal">
      <formula>"Menor"</formula>
    </cfRule>
    <cfRule type="cellIs" dxfId="497" priority="616" operator="equal">
      <formula>"Leve"</formula>
    </cfRule>
  </conditionalFormatting>
  <conditionalFormatting sqref="AF140">
    <cfRule type="cellIs" dxfId="496" priority="608" operator="equal">
      <formula>"Extremo"</formula>
    </cfRule>
    <cfRule type="cellIs" dxfId="495" priority="609" operator="equal">
      <formula>"Alto"</formula>
    </cfRule>
    <cfRule type="cellIs" dxfId="494" priority="610" operator="equal">
      <formula>"Moderado"</formula>
    </cfRule>
    <cfRule type="cellIs" dxfId="493" priority="611" operator="equal">
      <formula>"Bajo"</formula>
    </cfRule>
  </conditionalFormatting>
  <conditionalFormatting sqref="AB141">
    <cfRule type="cellIs" dxfId="492" priority="603" operator="equal">
      <formula>"Muy Alta"</formula>
    </cfRule>
    <cfRule type="cellIs" dxfId="491" priority="604" operator="equal">
      <formula>"Alta"</formula>
    </cfRule>
    <cfRule type="cellIs" dxfId="490" priority="605" operator="equal">
      <formula>"Media"</formula>
    </cfRule>
    <cfRule type="cellIs" dxfId="489" priority="606" operator="equal">
      <formula>"Baja"</formula>
    </cfRule>
    <cfRule type="cellIs" dxfId="488" priority="607" operator="equal">
      <formula>"Muy Baja"</formula>
    </cfRule>
  </conditionalFormatting>
  <conditionalFormatting sqref="AD141">
    <cfRule type="cellIs" dxfId="487" priority="598" operator="equal">
      <formula>"Catastrófico"</formula>
    </cfRule>
    <cfRule type="cellIs" dxfId="486" priority="599" operator="equal">
      <formula>"Mayor"</formula>
    </cfRule>
    <cfRule type="cellIs" dxfId="485" priority="600" operator="equal">
      <formula>"Moderado"</formula>
    </cfRule>
    <cfRule type="cellIs" dxfId="484" priority="601" operator="equal">
      <formula>"Menor"</formula>
    </cfRule>
    <cfRule type="cellIs" dxfId="483" priority="602" operator="equal">
      <formula>"Leve"</formula>
    </cfRule>
  </conditionalFormatting>
  <conditionalFormatting sqref="AF141">
    <cfRule type="cellIs" dxfId="482" priority="594" operator="equal">
      <formula>"Extremo"</formula>
    </cfRule>
    <cfRule type="cellIs" dxfId="481" priority="595" operator="equal">
      <formula>"Alto"</formula>
    </cfRule>
    <cfRule type="cellIs" dxfId="480" priority="596" operator="equal">
      <formula>"Moderado"</formula>
    </cfRule>
    <cfRule type="cellIs" dxfId="479" priority="597" operator="equal">
      <formula>"Bajo"</formula>
    </cfRule>
  </conditionalFormatting>
  <conditionalFormatting sqref="K139">
    <cfRule type="cellIs" dxfId="478" priority="589" operator="equal">
      <formula>"Muy Alta"</formula>
    </cfRule>
    <cfRule type="cellIs" dxfId="477" priority="590" operator="equal">
      <formula>"Alta"</formula>
    </cfRule>
    <cfRule type="cellIs" dxfId="476" priority="591" operator="equal">
      <formula>"Media"</formula>
    </cfRule>
    <cfRule type="cellIs" dxfId="475" priority="592" operator="equal">
      <formula>"Baja"</formula>
    </cfRule>
    <cfRule type="cellIs" dxfId="474" priority="593" operator="equal">
      <formula>"Muy Baja"</formula>
    </cfRule>
  </conditionalFormatting>
  <conditionalFormatting sqref="O139">
    <cfRule type="cellIs" dxfId="473" priority="584" operator="equal">
      <formula>"Catastrófico"</formula>
    </cfRule>
    <cfRule type="cellIs" dxfId="472" priority="585" operator="equal">
      <formula>"Mayor"</formula>
    </cfRule>
    <cfRule type="cellIs" dxfId="471" priority="586" operator="equal">
      <formula>"Moderado"</formula>
    </cfRule>
    <cfRule type="cellIs" dxfId="470" priority="587" operator="equal">
      <formula>"Menor"</formula>
    </cfRule>
    <cfRule type="cellIs" dxfId="469" priority="588" operator="equal">
      <formula>"Leve"</formula>
    </cfRule>
  </conditionalFormatting>
  <conditionalFormatting sqref="Q139">
    <cfRule type="cellIs" dxfId="468" priority="580" operator="equal">
      <formula>"Extremo"</formula>
    </cfRule>
    <cfRule type="cellIs" dxfId="467" priority="581" operator="equal">
      <formula>"Alto"</formula>
    </cfRule>
    <cfRule type="cellIs" dxfId="466" priority="582" operator="equal">
      <formula>"Moderado"</formula>
    </cfRule>
    <cfRule type="cellIs" dxfId="465" priority="583" operator="equal">
      <formula>"Bajo"</formula>
    </cfRule>
  </conditionalFormatting>
  <conditionalFormatting sqref="N139:N141">
    <cfRule type="containsText" dxfId="464" priority="579" operator="containsText" text="❌">
      <formula>NOT(ISERROR(SEARCH("❌",N139)))</formula>
    </cfRule>
  </conditionalFormatting>
  <conditionalFormatting sqref="AB139:AB141">
    <cfRule type="cellIs" dxfId="463" priority="574" operator="equal">
      <formula>"Muy Alta"</formula>
    </cfRule>
    <cfRule type="cellIs" dxfId="462" priority="575" operator="equal">
      <formula>"Alta"</formula>
    </cfRule>
    <cfRule type="cellIs" dxfId="461" priority="576" operator="equal">
      <formula>"Media"</formula>
    </cfRule>
    <cfRule type="cellIs" dxfId="460" priority="577" operator="equal">
      <formula>"Baja"</formula>
    </cfRule>
    <cfRule type="cellIs" dxfId="459" priority="578" operator="equal">
      <formula>"Muy Baja"</formula>
    </cfRule>
  </conditionalFormatting>
  <conditionalFormatting sqref="AD139:AD141">
    <cfRule type="cellIs" dxfId="458" priority="569" operator="equal">
      <formula>"Catastrófico"</formula>
    </cfRule>
    <cfRule type="cellIs" dxfId="457" priority="570" operator="equal">
      <formula>"Mayor"</formula>
    </cfRule>
    <cfRule type="cellIs" dxfId="456" priority="571" operator="equal">
      <formula>"Moderado"</formula>
    </cfRule>
    <cfRule type="cellIs" dxfId="455" priority="572" operator="equal">
      <formula>"Menor"</formula>
    </cfRule>
    <cfRule type="cellIs" dxfId="454" priority="573" operator="equal">
      <formula>"Leve"</formula>
    </cfRule>
  </conditionalFormatting>
  <conditionalFormatting sqref="AF139:AF141">
    <cfRule type="cellIs" dxfId="453" priority="565" operator="equal">
      <formula>"Extremo"</formula>
    </cfRule>
    <cfRule type="cellIs" dxfId="452" priority="566" operator="equal">
      <formula>"Alto"</formula>
    </cfRule>
    <cfRule type="cellIs" dxfId="451" priority="567" operator="equal">
      <formula>"Moderado"</formula>
    </cfRule>
    <cfRule type="cellIs" dxfId="450" priority="568" operator="equal">
      <formula>"Bajo"</formula>
    </cfRule>
  </conditionalFormatting>
  <conditionalFormatting sqref="N139:N141">
    <cfRule type="containsText" dxfId="449" priority="564" operator="containsText" text="❌">
      <formula>NOT(ISERROR(SEARCH("❌",N139)))</formula>
    </cfRule>
  </conditionalFormatting>
  <conditionalFormatting sqref="AB142">
    <cfRule type="cellIs" dxfId="448" priority="559" operator="equal">
      <formula>"Muy Alta"</formula>
    </cfRule>
    <cfRule type="cellIs" dxfId="447" priority="560" operator="equal">
      <formula>"Alta"</formula>
    </cfRule>
    <cfRule type="cellIs" dxfId="446" priority="561" operator="equal">
      <formula>"Media"</formula>
    </cfRule>
    <cfRule type="cellIs" dxfId="445" priority="562" operator="equal">
      <formula>"Baja"</formula>
    </cfRule>
    <cfRule type="cellIs" dxfId="444" priority="563" operator="equal">
      <formula>"Muy Baja"</formula>
    </cfRule>
  </conditionalFormatting>
  <conditionalFormatting sqref="AD142">
    <cfRule type="cellIs" dxfId="443" priority="554" operator="equal">
      <formula>"Catastrófico"</formula>
    </cfRule>
    <cfRule type="cellIs" dxfId="442" priority="555" operator="equal">
      <formula>"Mayor"</formula>
    </cfRule>
    <cfRule type="cellIs" dxfId="441" priority="556" operator="equal">
      <formula>"Moderado"</formula>
    </cfRule>
    <cfRule type="cellIs" dxfId="440" priority="557" operator="equal">
      <formula>"Menor"</formula>
    </cfRule>
    <cfRule type="cellIs" dxfId="439" priority="558" operator="equal">
      <formula>"Leve"</formula>
    </cfRule>
  </conditionalFormatting>
  <conditionalFormatting sqref="AF142">
    <cfRule type="cellIs" dxfId="438" priority="550" operator="equal">
      <formula>"Extremo"</formula>
    </cfRule>
    <cfRule type="cellIs" dxfId="437" priority="551" operator="equal">
      <formula>"Alto"</formula>
    </cfRule>
    <cfRule type="cellIs" dxfId="436" priority="552" operator="equal">
      <formula>"Moderado"</formula>
    </cfRule>
    <cfRule type="cellIs" dxfId="435" priority="553" operator="equal">
      <formula>"Bajo"</formula>
    </cfRule>
  </conditionalFormatting>
  <conditionalFormatting sqref="AB143">
    <cfRule type="cellIs" dxfId="434" priority="545" operator="equal">
      <formula>"Muy Alta"</formula>
    </cfRule>
    <cfRule type="cellIs" dxfId="433" priority="546" operator="equal">
      <formula>"Alta"</formula>
    </cfRule>
    <cfRule type="cellIs" dxfId="432" priority="547" operator="equal">
      <formula>"Media"</formula>
    </cfRule>
    <cfRule type="cellIs" dxfId="431" priority="548" operator="equal">
      <formula>"Baja"</formula>
    </cfRule>
    <cfRule type="cellIs" dxfId="430" priority="549" operator="equal">
      <formula>"Muy Baja"</formula>
    </cfRule>
  </conditionalFormatting>
  <conditionalFormatting sqref="AD143">
    <cfRule type="cellIs" dxfId="429" priority="540" operator="equal">
      <formula>"Catastrófico"</formula>
    </cfRule>
    <cfRule type="cellIs" dxfId="428" priority="541" operator="equal">
      <formula>"Mayor"</formula>
    </cfRule>
    <cfRule type="cellIs" dxfId="427" priority="542" operator="equal">
      <formula>"Moderado"</formula>
    </cfRule>
    <cfRule type="cellIs" dxfId="426" priority="543" operator="equal">
      <formula>"Menor"</formula>
    </cfRule>
    <cfRule type="cellIs" dxfId="425" priority="544" operator="equal">
      <formula>"Leve"</formula>
    </cfRule>
  </conditionalFormatting>
  <conditionalFormatting sqref="AF143">
    <cfRule type="cellIs" dxfId="424" priority="536" operator="equal">
      <formula>"Extremo"</formula>
    </cfRule>
    <cfRule type="cellIs" dxfId="423" priority="537" operator="equal">
      <formula>"Alto"</formula>
    </cfRule>
    <cfRule type="cellIs" dxfId="422" priority="538" operator="equal">
      <formula>"Moderado"</formula>
    </cfRule>
    <cfRule type="cellIs" dxfId="421" priority="539" operator="equal">
      <formula>"Bajo"</formula>
    </cfRule>
  </conditionalFormatting>
  <conditionalFormatting sqref="AB144">
    <cfRule type="cellIs" dxfId="420" priority="531" operator="equal">
      <formula>"Muy Alta"</formula>
    </cfRule>
    <cfRule type="cellIs" dxfId="419" priority="532" operator="equal">
      <formula>"Alta"</formula>
    </cfRule>
    <cfRule type="cellIs" dxfId="418" priority="533" operator="equal">
      <formula>"Media"</formula>
    </cfRule>
    <cfRule type="cellIs" dxfId="417" priority="534" operator="equal">
      <formula>"Baja"</formula>
    </cfRule>
    <cfRule type="cellIs" dxfId="416" priority="535" operator="equal">
      <formula>"Muy Baja"</formula>
    </cfRule>
  </conditionalFormatting>
  <conditionalFormatting sqref="AD144">
    <cfRule type="cellIs" dxfId="415" priority="526" operator="equal">
      <formula>"Catastrófico"</formula>
    </cfRule>
    <cfRule type="cellIs" dxfId="414" priority="527" operator="equal">
      <formula>"Mayor"</formula>
    </cfRule>
    <cfRule type="cellIs" dxfId="413" priority="528" operator="equal">
      <formula>"Moderado"</formula>
    </cfRule>
    <cfRule type="cellIs" dxfId="412" priority="529" operator="equal">
      <formula>"Menor"</formula>
    </cfRule>
    <cfRule type="cellIs" dxfId="411" priority="530" operator="equal">
      <formula>"Leve"</formula>
    </cfRule>
  </conditionalFormatting>
  <conditionalFormatting sqref="AF144">
    <cfRule type="cellIs" dxfId="410" priority="522" operator="equal">
      <formula>"Extremo"</formula>
    </cfRule>
    <cfRule type="cellIs" dxfId="409" priority="523" operator="equal">
      <formula>"Alto"</formula>
    </cfRule>
    <cfRule type="cellIs" dxfId="408" priority="524" operator="equal">
      <formula>"Moderado"</formula>
    </cfRule>
    <cfRule type="cellIs" dxfId="407" priority="525" operator="equal">
      <formula>"Bajo"</formula>
    </cfRule>
  </conditionalFormatting>
  <conditionalFormatting sqref="K142">
    <cfRule type="cellIs" dxfId="406" priority="517" operator="equal">
      <formula>"Muy Alta"</formula>
    </cfRule>
    <cfRule type="cellIs" dxfId="405" priority="518" operator="equal">
      <formula>"Alta"</formula>
    </cfRule>
    <cfRule type="cellIs" dxfId="404" priority="519" operator="equal">
      <formula>"Media"</formula>
    </cfRule>
    <cfRule type="cellIs" dxfId="403" priority="520" operator="equal">
      <formula>"Baja"</formula>
    </cfRule>
    <cfRule type="cellIs" dxfId="402" priority="521" operator="equal">
      <formula>"Muy Baja"</formula>
    </cfRule>
  </conditionalFormatting>
  <conditionalFormatting sqref="O142">
    <cfRule type="cellIs" dxfId="401" priority="512" operator="equal">
      <formula>"Catastrófico"</formula>
    </cfRule>
    <cfRule type="cellIs" dxfId="400" priority="513" operator="equal">
      <formula>"Mayor"</formula>
    </cfRule>
    <cfRule type="cellIs" dxfId="399" priority="514" operator="equal">
      <formula>"Moderado"</formula>
    </cfRule>
    <cfRule type="cellIs" dxfId="398" priority="515" operator="equal">
      <formula>"Menor"</formula>
    </cfRule>
    <cfRule type="cellIs" dxfId="397" priority="516" operator="equal">
      <formula>"Leve"</formula>
    </cfRule>
  </conditionalFormatting>
  <conditionalFormatting sqref="Q142">
    <cfRule type="cellIs" dxfId="396" priority="508" operator="equal">
      <formula>"Extremo"</formula>
    </cfRule>
    <cfRule type="cellIs" dxfId="395" priority="509" operator="equal">
      <formula>"Alto"</formula>
    </cfRule>
    <cfRule type="cellIs" dxfId="394" priority="510" operator="equal">
      <formula>"Moderado"</formula>
    </cfRule>
    <cfRule type="cellIs" dxfId="393" priority="511" operator="equal">
      <formula>"Bajo"</formula>
    </cfRule>
  </conditionalFormatting>
  <conditionalFormatting sqref="N142:N144">
    <cfRule type="containsText" dxfId="392" priority="507" operator="containsText" text="❌">
      <formula>NOT(ISERROR(SEARCH("❌",N142)))</formula>
    </cfRule>
  </conditionalFormatting>
  <conditionalFormatting sqref="AB142:AB144">
    <cfRule type="cellIs" dxfId="391" priority="502" operator="equal">
      <formula>"Muy Alta"</formula>
    </cfRule>
    <cfRule type="cellIs" dxfId="390" priority="503" operator="equal">
      <formula>"Alta"</formula>
    </cfRule>
    <cfRule type="cellIs" dxfId="389" priority="504" operator="equal">
      <formula>"Media"</formula>
    </cfRule>
    <cfRule type="cellIs" dxfId="388" priority="505" operator="equal">
      <formula>"Baja"</formula>
    </cfRule>
    <cfRule type="cellIs" dxfId="387" priority="506" operator="equal">
      <formula>"Muy Baja"</formula>
    </cfRule>
  </conditionalFormatting>
  <conditionalFormatting sqref="AD142:AD144">
    <cfRule type="cellIs" dxfId="386" priority="497" operator="equal">
      <formula>"Catastrófico"</formula>
    </cfRule>
    <cfRule type="cellIs" dxfId="385" priority="498" operator="equal">
      <formula>"Mayor"</formula>
    </cfRule>
    <cfRule type="cellIs" dxfId="384" priority="499" operator="equal">
      <formula>"Moderado"</formula>
    </cfRule>
    <cfRule type="cellIs" dxfId="383" priority="500" operator="equal">
      <formula>"Menor"</formula>
    </cfRule>
    <cfRule type="cellIs" dxfId="382" priority="501" operator="equal">
      <formula>"Leve"</formula>
    </cfRule>
  </conditionalFormatting>
  <conditionalFormatting sqref="AF142:AF144">
    <cfRule type="cellIs" dxfId="381" priority="493" operator="equal">
      <formula>"Extremo"</formula>
    </cfRule>
    <cfRule type="cellIs" dxfId="380" priority="494" operator="equal">
      <formula>"Alto"</formula>
    </cfRule>
    <cfRule type="cellIs" dxfId="379" priority="495" operator="equal">
      <formula>"Moderado"</formula>
    </cfRule>
    <cfRule type="cellIs" dxfId="378" priority="496" operator="equal">
      <formula>"Bajo"</formula>
    </cfRule>
  </conditionalFormatting>
  <conditionalFormatting sqref="N142:N144">
    <cfRule type="containsText" dxfId="377" priority="492" operator="containsText" text="❌">
      <formula>NOT(ISERROR(SEARCH("❌",N142)))</formula>
    </cfRule>
  </conditionalFormatting>
  <conditionalFormatting sqref="AB145">
    <cfRule type="cellIs" dxfId="376" priority="487" operator="equal">
      <formula>"Muy Alta"</formula>
    </cfRule>
    <cfRule type="cellIs" dxfId="375" priority="488" operator="equal">
      <formula>"Alta"</formula>
    </cfRule>
    <cfRule type="cellIs" dxfId="374" priority="489" operator="equal">
      <formula>"Media"</formula>
    </cfRule>
    <cfRule type="cellIs" dxfId="373" priority="490" operator="equal">
      <formula>"Baja"</formula>
    </cfRule>
    <cfRule type="cellIs" dxfId="372" priority="491" operator="equal">
      <formula>"Muy Baja"</formula>
    </cfRule>
  </conditionalFormatting>
  <conditionalFormatting sqref="AD145">
    <cfRule type="cellIs" dxfId="371" priority="482" operator="equal">
      <formula>"Catastrófico"</formula>
    </cfRule>
    <cfRule type="cellIs" dxfId="370" priority="483" operator="equal">
      <formula>"Mayor"</formula>
    </cfRule>
    <cfRule type="cellIs" dxfId="369" priority="484" operator="equal">
      <formula>"Moderado"</formula>
    </cfRule>
    <cfRule type="cellIs" dxfId="368" priority="485" operator="equal">
      <formula>"Menor"</formula>
    </cfRule>
    <cfRule type="cellIs" dxfId="367" priority="486" operator="equal">
      <formula>"Leve"</formula>
    </cfRule>
  </conditionalFormatting>
  <conditionalFormatting sqref="AF145">
    <cfRule type="cellIs" dxfId="366" priority="478" operator="equal">
      <formula>"Extremo"</formula>
    </cfRule>
    <cfRule type="cellIs" dxfId="365" priority="479" operator="equal">
      <formula>"Alto"</formula>
    </cfRule>
    <cfRule type="cellIs" dxfId="364" priority="480" operator="equal">
      <formula>"Moderado"</formula>
    </cfRule>
    <cfRule type="cellIs" dxfId="363" priority="481" operator="equal">
      <formula>"Bajo"</formula>
    </cfRule>
  </conditionalFormatting>
  <conditionalFormatting sqref="AB146">
    <cfRule type="cellIs" dxfId="362" priority="473" operator="equal">
      <formula>"Muy Alta"</formula>
    </cfRule>
    <cfRule type="cellIs" dxfId="361" priority="474" operator="equal">
      <formula>"Alta"</formula>
    </cfRule>
    <cfRule type="cellIs" dxfId="360" priority="475" operator="equal">
      <formula>"Media"</formula>
    </cfRule>
    <cfRule type="cellIs" dxfId="359" priority="476" operator="equal">
      <formula>"Baja"</formula>
    </cfRule>
    <cfRule type="cellIs" dxfId="358" priority="477" operator="equal">
      <formula>"Muy Baja"</formula>
    </cfRule>
  </conditionalFormatting>
  <conditionalFormatting sqref="AD146">
    <cfRule type="cellIs" dxfId="357" priority="468" operator="equal">
      <formula>"Catastrófico"</formula>
    </cfRule>
    <cfRule type="cellIs" dxfId="356" priority="469" operator="equal">
      <formula>"Mayor"</formula>
    </cfRule>
    <cfRule type="cellIs" dxfId="355" priority="470" operator="equal">
      <formula>"Moderado"</formula>
    </cfRule>
    <cfRule type="cellIs" dxfId="354" priority="471" operator="equal">
      <formula>"Menor"</formula>
    </cfRule>
    <cfRule type="cellIs" dxfId="353" priority="472" operator="equal">
      <formula>"Leve"</formula>
    </cfRule>
  </conditionalFormatting>
  <conditionalFormatting sqref="AF146">
    <cfRule type="cellIs" dxfId="352" priority="464" operator="equal">
      <formula>"Extremo"</formula>
    </cfRule>
    <cfRule type="cellIs" dxfId="351" priority="465" operator="equal">
      <formula>"Alto"</formula>
    </cfRule>
    <cfRule type="cellIs" dxfId="350" priority="466" operator="equal">
      <formula>"Moderado"</formula>
    </cfRule>
    <cfRule type="cellIs" dxfId="349" priority="467" operator="equal">
      <formula>"Bajo"</formula>
    </cfRule>
  </conditionalFormatting>
  <conditionalFormatting sqref="AB147">
    <cfRule type="cellIs" dxfId="348" priority="459" operator="equal">
      <formula>"Muy Alta"</formula>
    </cfRule>
    <cfRule type="cellIs" dxfId="347" priority="460" operator="equal">
      <formula>"Alta"</formula>
    </cfRule>
    <cfRule type="cellIs" dxfId="346" priority="461" operator="equal">
      <formula>"Media"</formula>
    </cfRule>
    <cfRule type="cellIs" dxfId="345" priority="462" operator="equal">
      <formula>"Baja"</formula>
    </cfRule>
    <cfRule type="cellIs" dxfId="344" priority="463" operator="equal">
      <formula>"Muy Baja"</formula>
    </cfRule>
  </conditionalFormatting>
  <conditionalFormatting sqref="AD147">
    <cfRule type="cellIs" dxfId="343" priority="454" operator="equal">
      <formula>"Catastrófico"</formula>
    </cfRule>
    <cfRule type="cellIs" dxfId="342" priority="455" operator="equal">
      <formula>"Mayor"</formula>
    </cfRule>
    <cfRule type="cellIs" dxfId="341" priority="456" operator="equal">
      <formula>"Moderado"</formula>
    </cfRule>
    <cfRule type="cellIs" dxfId="340" priority="457" operator="equal">
      <formula>"Menor"</formula>
    </cfRule>
    <cfRule type="cellIs" dxfId="339" priority="458" operator="equal">
      <formula>"Leve"</formula>
    </cfRule>
  </conditionalFormatting>
  <conditionalFormatting sqref="AF147">
    <cfRule type="cellIs" dxfId="338" priority="450" operator="equal">
      <formula>"Extremo"</formula>
    </cfRule>
    <cfRule type="cellIs" dxfId="337" priority="451" operator="equal">
      <formula>"Alto"</formula>
    </cfRule>
    <cfRule type="cellIs" dxfId="336" priority="452" operator="equal">
      <formula>"Moderado"</formula>
    </cfRule>
    <cfRule type="cellIs" dxfId="335" priority="453" operator="equal">
      <formula>"Bajo"</formula>
    </cfRule>
  </conditionalFormatting>
  <conditionalFormatting sqref="K145">
    <cfRule type="cellIs" dxfId="334" priority="445" operator="equal">
      <formula>"Muy Alta"</formula>
    </cfRule>
    <cfRule type="cellIs" dxfId="333" priority="446" operator="equal">
      <formula>"Alta"</formula>
    </cfRule>
    <cfRule type="cellIs" dxfId="332" priority="447" operator="equal">
      <formula>"Media"</formula>
    </cfRule>
    <cfRule type="cellIs" dxfId="331" priority="448" operator="equal">
      <formula>"Baja"</formula>
    </cfRule>
    <cfRule type="cellIs" dxfId="330" priority="449" operator="equal">
      <formula>"Muy Baja"</formula>
    </cfRule>
  </conditionalFormatting>
  <conditionalFormatting sqref="O145">
    <cfRule type="cellIs" dxfId="329" priority="440" operator="equal">
      <formula>"Catastrófico"</formula>
    </cfRule>
    <cfRule type="cellIs" dxfId="328" priority="441" operator="equal">
      <formula>"Mayor"</formula>
    </cfRule>
    <cfRule type="cellIs" dxfId="327" priority="442" operator="equal">
      <formula>"Moderado"</formula>
    </cfRule>
    <cfRule type="cellIs" dxfId="326" priority="443" operator="equal">
      <formula>"Menor"</formula>
    </cfRule>
    <cfRule type="cellIs" dxfId="325" priority="444" operator="equal">
      <formula>"Leve"</formula>
    </cfRule>
  </conditionalFormatting>
  <conditionalFormatting sqref="Q145">
    <cfRule type="cellIs" dxfId="324" priority="436" operator="equal">
      <formula>"Extremo"</formula>
    </cfRule>
    <cfRule type="cellIs" dxfId="323" priority="437" operator="equal">
      <formula>"Alto"</formula>
    </cfRule>
    <cfRule type="cellIs" dxfId="322" priority="438" operator="equal">
      <formula>"Moderado"</formula>
    </cfRule>
    <cfRule type="cellIs" dxfId="321" priority="439" operator="equal">
      <formula>"Bajo"</formula>
    </cfRule>
  </conditionalFormatting>
  <conditionalFormatting sqref="N145:N147">
    <cfRule type="containsText" dxfId="320" priority="435" operator="containsText" text="❌">
      <formula>NOT(ISERROR(SEARCH("❌",N145)))</formula>
    </cfRule>
  </conditionalFormatting>
  <conditionalFormatting sqref="AB145:AB147">
    <cfRule type="cellIs" dxfId="319" priority="430" operator="equal">
      <formula>"Muy Alta"</formula>
    </cfRule>
    <cfRule type="cellIs" dxfId="318" priority="431" operator="equal">
      <formula>"Alta"</formula>
    </cfRule>
    <cfRule type="cellIs" dxfId="317" priority="432" operator="equal">
      <formula>"Media"</formula>
    </cfRule>
    <cfRule type="cellIs" dxfId="316" priority="433" operator="equal">
      <formula>"Baja"</formula>
    </cfRule>
    <cfRule type="cellIs" dxfId="315" priority="434" operator="equal">
      <formula>"Muy Baja"</formula>
    </cfRule>
  </conditionalFormatting>
  <conditionalFormatting sqref="AD145:AD147">
    <cfRule type="cellIs" dxfId="314" priority="425" operator="equal">
      <formula>"Catastrófico"</formula>
    </cfRule>
    <cfRule type="cellIs" dxfId="313" priority="426" operator="equal">
      <formula>"Mayor"</formula>
    </cfRule>
    <cfRule type="cellIs" dxfId="312" priority="427" operator="equal">
      <formula>"Moderado"</formula>
    </cfRule>
    <cfRule type="cellIs" dxfId="311" priority="428" operator="equal">
      <formula>"Menor"</formula>
    </cfRule>
    <cfRule type="cellIs" dxfId="310" priority="429" operator="equal">
      <formula>"Leve"</formula>
    </cfRule>
  </conditionalFormatting>
  <conditionalFormatting sqref="AF145:AF147">
    <cfRule type="cellIs" dxfId="309" priority="421" operator="equal">
      <formula>"Extremo"</formula>
    </cfRule>
    <cfRule type="cellIs" dxfId="308" priority="422" operator="equal">
      <formula>"Alto"</formula>
    </cfRule>
    <cfRule type="cellIs" dxfId="307" priority="423" operator="equal">
      <formula>"Moderado"</formula>
    </cfRule>
    <cfRule type="cellIs" dxfId="306" priority="424" operator="equal">
      <formula>"Bajo"</formula>
    </cfRule>
  </conditionalFormatting>
  <conditionalFormatting sqref="N145:N147">
    <cfRule type="containsText" dxfId="305" priority="420" operator="containsText" text="❌">
      <formula>NOT(ISERROR(SEARCH("❌",N145)))</formula>
    </cfRule>
  </conditionalFormatting>
  <conditionalFormatting sqref="AB148">
    <cfRule type="cellIs" dxfId="304" priority="415" operator="equal">
      <formula>"Muy Alta"</formula>
    </cfRule>
    <cfRule type="cellIs" dxfId="303" priority="416" operator="equal">
      <formula>"Alta"</formula>
    </cfRule>
    <cfRule type="cellIs" dxfId="302" priority="417" operator="equal">
      <formula>"Media"</formula>
    </cfRule>
    <cfRule type="cellIs" dxfId="301" priority="418" operator="equal">
      <formula>"Baja"</formula>
    </cfRule>
    <cfRule type="cellIs" dxfId="300" priority="419" operator="equal">
      <formula>"Muy Baja"</formula>
    </cfRule>
  </conditionalFormatting>
  <conditionalFormatting sqref="AD148">
    <cfRule type="cellIs" dxfId="299" priority="410" operator="equal">
      <formula>"Catastrófico"</formula>
    </cfRule>
    <cfRule type="cellIs" dxfId="298" priority="411" operator="equal">
      <formula>"Mayor"</formula>
    </cfRule>
    <cfRule type="cellIs" dxfId="297" priority="412" operator="equal">
      <formula>"Moderado"</formula>
    </cfRule>
    <cfRule type="cellIs" dxfId="296" priority="413" operator="equal">
      <formula>"Menor"</formula>
    </cfRule>
    <cfRule type="cellIs" dxfId="295" priority="414" operator="equal">
      <formula>"Leve"</formula>
    </cfRule>
  </conditionalFormatting>
  <conditionalFormatting sqref="AF148">
    <cfRule type="cellIs" dxfId="294" priority="406" operator="equal">
      <formula>"Extremo"</formula>
    </cfRule>
    <cfRule type="cellIs" dxfId="293" priority="407" operator="equal">
      <formula>"Alto"</formula>
    </cfRule>
    <cfRule type="cellIs" dxfId="292" priority="408" operator="equal">
      <formula>"Moderado"</formula>
    </cfRule>
    <cfRule type="cellIs" dxfId="291" priority="409" operator="equal">
      <formula>"Bajo"</formula>
    </cfRule>
  </conditionalFormatting>
  <conditionalFormatting sqref="AB149">
    <cfRule type="cellIs" dxfId="290" priority="401" operator="equal">
      <formula>"Muy Alta"</formula>
    </cfRule>
    <cfRule type="cellIs" dxfId="289" priority="402" operator="equal">
      <formula>"Alta"</formula>
    </cfRule>
    <cfRule type="cellIs" dxfId="288" priority="403" operator="equal">
      <formula>"Media"</formula>
    </cfRule>
    <cfRule type="cellIs" dxfId="287" priority="404" operator="equal">
      <formula>"Baja"</formula>
    </cfRule>
    <cfRule type="cellIs" dxfId="286" priority="405" operator="equal">
      <formula>"Muy Baja"</formula>
    </cfRule>
  </conditionalFormatting>
  <conditionalFormatting sqref="AD149">
    <cfRule type="cellIs" dxfId="285" priority="396" operator="equal">
      <formula>"Catastrófico"</formula>
    </cfRule>
    <cfRule type="cellIs" dxfId="284" priority="397" operator="equal">
      <formula>"Mayor"</formula>
    </cfRule>
    <cfRule type="cellIs" dxfId="283" priority="398" operator="equal">
      <formula>"Moderado"</formula>
    </cfRule>
    <cfRule type="cellIs" dxfId="282" priority="399" operator="equal">
      <formula>"Menor"</formula>
    </cfRule>
    <cfRule type="cellIs" dxfId="281" priority="400" operator="equal">
      <formula>"Leve"</formula>
    </cfRule>
  </conditionalFormatting>
  <conditionalFormatting sqref="AF149">
    <cfRule type="cellIs" dxfId="280" priority="392" operator="equal">
      <formula>"Extremo"</formula>
    </cfRule>
    <cfRule type="cellIs" dxfId="279" priority="393" operator="equal">
      <formula>"Alto"</formula>
    </cfRule>
    <cfRule type="cellIs" dxfId="278" priority="394" operator="equal">
      <formula>"Moderado"</formula>
    </cfRule>
    <cfRule type="cellIs" dxfId="277" priority="395" operator="equal">
      <formula>"Bajo"</formula>
    </cfRule>
  </conditionalFormatting>
  <conditionalFormatting sqref="AB150">
    <cfRule type="cellIs" dxfId="276" priority="387" operator="equal">
      <formula>"Muy Alta"</formula>
    </cfRule>
    <cfRule type="cellIs" dxfId="275" priority="388" operator="equal">
      <formula>"Alta"</formula>
    </cfRule>
    <cfRule type="cellIs" dxfId="274" priority="389" operator="equal">
      <formula>"Media"</formula>
    </cfRule>
    <cfRule type="cellIs" dxfId="273" priority="390" operator="equal">
      <formula>"Baja"</formula>
    </cfRule>
    <cfRule type="cellIs" dxfId="272" priority="391" operator="equal">
      <formula>"Muy Baja"</formula>
    </cfRule>
  </conditionalFormatting>
  <conditionalFormatting sqref="AD150">
    <cfRule type="cellIs" dxfId="271" priority="382" operator="equal">
      <formula>"Catastrófico"</formula>
    </cfRule>
    <cfRule type="cellIs" dxfId="270" priority="383" operator="equal">
      <formula>"Mayor"</formula>
    </cfRule>
    <cfRule type="cellIs" dxfId="269" priority="384" operator="equal">
      <formula>"Moderado"</formula>
    </cfRule>
    <cfRule type="cellIs" dxfId="268" priority="385" operator="equal">
      <formula>"Menor"</formula>
    </cfRule>
    <cfRule type="cellIs" dxfId="267" priority="386" operator="equal">
      <formula>"Leve"</formula>
    </cfRule>
  </conditionalFormatting>
  <conditionalFormatting sqref="AF150">
    <cfRule type="cellIs" dxfId="266" priority="378" operator="equal">
      <formula>"Extremo"</formula>
    </cfRule>
    <cfRule type="cellIs" dxfId="265" priority="379" operator="equal">
      <formula>"Alto"</formula>
    </cfRule>
    <cfRule type="cellIs" dxfId="264" priority="380" operator="equal">
      <formula>"Moderado"</formula>
    </cfRule>
    <cfRule type="cellIs" dxfId="263" priority="381" operator="equal">
      <formula>"Bajo"</formula>
    </cfRule>
  </conditionalFormatting>
  <conditionalFormatting sqref="K148">
    <cfRule type="cellIs" dxfId="262" priority="373" operator="equal">
      <formula>"Muy Alta"</formula>
    </cfRule>
    <cfRule type="cellIs" dxfId="261" priority="374" operator="equal">
      <formula>"Alta"</formula>
    </cfRule>
    <cfRule type="cellIs" dxfId="260" priority="375" operator="equal">
      <formula>"Media"</formula>
    </cfRule>
    <cfRule type="cellIs" dxfId="259" priority="376" operator="equal">
      <formula>"Baja"</formula>
    </cfRule>
    <cfRule type="cellIs" dxfId="258" priority="377" operator="equal">
      <formula>"Muy Baja"</formula>
    </cfRule>
  </conditionalFormatting>
  <conditionalFormatting sqref="O148">
    <cfRule type="cellIs" dxfId="257" priority="368" operator="equal">
      <formula>"Catastrófico"</formula>
    </cfRule>
    <cfRule type="cellIs" dxfId="256" priority="369" operator="equal">
      <formula>"Mayor"</formula>
    </cfRule>
    <cfRule type="cellIs" dxfId="255" priority="370" operator="equal">
      <formula>"Moderado"</formula>
    </cfRule>
    <cfRule type="cellIs" dxfId="254" priority="371" operator="equal">
      <formula>"Menor"</formula>
    </cfRule>
    <cfRule type="cellIs" dxfId="253" priority="372" operator="equal">
      <formula>"Leve"</formula>
    </cfRule>
  </conditionalFormatting>
  <conditionalFormatting sqref="Q148">
    <cfRule type="cellIs" dxfId="252" priority="364" operator="equal">
      <formula>"Extremo"</formula>
    </cfRule>
    <cfRule type="cellIs" dxfId="251" priority="365" operator="equal">
      <formula>"Alto"</formula>
    </cfRule>
    <cfRule type="cellIs" dxfId="250" priority="366" operator="equal">
      <formula>"Moderado"</formula>
    </cfRule>
    <cfRule type="cellIs" dxfId="249" priority="367" operator="equal">
      <formula>"Bajo"</formula>
    </cfRule>
  </conditionalFormatting>
  <conditionalFormatting sqref="N148:N150">
    <cfRule type="containsText" dxfId="248" priority="363" operator="containsText" text="❌">
      <formula>NOT(ISERROR(SEARCH("❌",N148)))</formula>
    </cfRule>
  </conditionalFormatting>
  <conditionalFormatting sqref="AB148:AB150">
    <cfRule type="cellIs" dxfId="247" priority="358" operator="equal">
      <formula>"Muy Alta"</formula>
    </cfRule>
    <cfRule type="cellIs" dxfId="246" priority="359" operator="equal">
      <formula>"Alta"</formula>
    </cfRule>
    <cfRule type="cellIs" dxfId="245" priority="360" operator="equal">
      <formula>"Media"</formula>
    </cfRule>
    <cfRule type="cellIs" dxfId="244" priority="361" operator="equal">
      <formula>"Baja"</formula>
    </cfRule>
    <cfRule type="cellIs" dxfId="243" priority="362" operator="equal">
      <formula>"Muy Baja"</formula>
    </cfRule>
  </conditionalFormatting>
  <conditionalFormatting sqref="AD148:AD150">
    <cfRule type="cellIs" dxfId="242" priority="353" operator="equal">
      <formula>"Catastrófico"</formula>
    </cfRule>
    <cfRule type="cellIs" dxfId="241" priority="354" operator="equal">
      <formula>"Mayor"</formula>
    </cfRule>
    <cfRule type="cellIs" dxfId="240" priority="355" operator="equal">
      <formula>"Moderado"</formula>
    </cfRule>
    <cfRule type="cellIs" dxfId="239" priority="356" operator="equal">
      <formula>"Menor"</formula>
    </cfRule>
    <cfRule type="cellIs" dxfId="238" priority="357" operator="equal">
      <formula>"Leve"</formula>
    </cfRule>
  </conditionalFormatting>
  <conditionalFormatting sqref="AF148:AF150">
    <cfRule type="cellIs" dxfId="237" priority="349" operator="equal">
      <formula>"Extremo"</formula>
    </cfRule>
    <cfRule type="cellIs" dxfId="236" priority="350" operator="equal">
      <formula>"Alto"</formula>
    </cfRule>
    <cfRule type="cellIs" dxfId="235" priority="351" operator="equal">
      <formula>"Moderado"</formula>
    </cfRule>
    <cfRule type="cellIs" dxfId="234" priority="352" operator="equal">
      <formula>"Bajo"</formula>
    </cfRule>
  </conditionalFormatting>
  <conditionalFormatting sqref="N148:N150">
    <cfRule type="containsText" dxfId="233" priority="348" operator="containsText" text="❌">
      <formula>NOT(ISERROR(SEARCH("❌",N148)))</formula>
    </cfRule>
  </conditionalFormatting>
  <conditionalFormatting sqref="AB17">
    <cfRule type="cellIs" dxfId="204" priority="315" operator="equal">
      <formula>"Muy Alta"</formula>
    </cfRule>
    <cfRule type="cellIs" dxfId="203" priority="316" operator="equal">
      <formula>"Alta"</formula>
    </cfRule>
    <cfRule type="cellIs" dxfId="202" priority="317" operator="equal">
      <formula>"Media"</formula>
    </cfRule>
    <cfRule type="cellIs" dxfId="201" priority="318" operator="equal">
      <formula>"Baja"</formula>
    </cfRule>
    <cfRule type="cellIs" dxfId="200" priority="319" operator="equal">
      <formula>"Muy Baja"</formula>
    </cfRule>
  </conditionalFormatting>
  <conditionalFormatting sqref="AD17">
    <cfRule type="cellIs" dxfId="199" priority="310" operator="equal">
      <formula>"Catastrófico"</formula>
    </cfRule>
    <cfRule type="cellIs" dxfId="198" priority="311" operator="equal">
      <formula>"Mayor"</formula>
    </cfRule>
    <cfRule type="cellIs" dxfId="197" priority="312" operator="equal">
      <formula>"Moderado"</formula>
    </cfRule>
    <cfRule type="cellIs" dxfId="196" priority="313" operator="equal">
      <formula>"Menor"</formula>
    </cfRule>
    <cfRule type="cellIs" dxfId="195" priority="314" operator="equal">
      <formula>"Leve"</formula>
    </cfRule>
  </conditionalFormatting>
  <conditionalFormatting sqref="AF17">
    <cfRule type="cellIs" dxfId="194" priority="306" operator="equal">
      <formula>"Extremo"</formula>
    </cfRule>
    <cfRule type="cellIs" dxfId="193" priority="307" operator="equal">
      <formula>"Alto"</formula>
    </cfRule>
    <cfRule type="cellIs" dxfId="192" priority="308" operator="equal">
      <formula>"Moderado"</formula>
    </cfRule>
    <cfRule type="cellIs" dxfId="191" priority="309" operator="equal">
      <formula>"Bajo"</formula>
    </cfRule>
  </conditionalFormatting>
  <conditionalFormatting sqref="AB18">
    <cfRule type="cellIs" dxfId="190" priority="301" operator="equal">
      <formula>"Muy Alta"</formula>
    </cfRule>
    <cfRule type="cellIs" dxfId="189" priority="302" operator="equal">
      <formula>"Alta"</formula>
    </cfRule>
    <cfRule type="cellIs" dxfId="188" priority="303" operator="equal">
      <formula>"Media"</formula>
    </cfRule>
    <cfRule type="cellIs" dxfId="187" priority="304" operator="equal">
      <formula>"Baja"</formula>
    </cfRule>
    <cfRule type="cellIs" dxfId="186" priority="305" operator="equal">
      <formula>"Muy Baja"</formula>
    </cfRule>
  </conditionalFormatting>
  <conditionalFormatting sqref="AD18">
    <cfRule type="cellIs" dxfId="185" priority="296" operator="equal">
      <formula>"Catastrófico"</formula>
    </cfRule>
    <cfRule type="cellIs" dxfId="184" priority="297" operator="equal">
      <formula>"Mayor"</formula>
    </cfRule>
    <cfRule type="cellIs" dxfId="183" priority="298" operator="equal">
      <formula>"Moderado"</formula>
    </cfRule>
    <cfRule type="cellIs" dxfId="182" priority="299" operator="equal">
      <formula>"Menor"</formula>
    </cfRule>
    <cfRule type="cellIs" dxfId="181" priority="300" operator="equal">
      <formula>"Leve"</formula>
    </cfRule>
  </conditionalFormatting>
  <conditionalFormatting sqref="AF18">
    <cfRule type="cellIs" dxfId="180" priority="292" operator="equal">
      <formula>"Extremo"</formula>
    </cfRule>
    <cfRule type="cellIs" dxfId="179" priority="293" operator="equal">
      <formula>"Alto"</formula>
    </cfRule>
    <cfRule type="cellIs" dxfId="178" priority="294" operator="equal">
      <formula>"Moderado"</formula>
    </cfRule>
    <cfRule type="cellIs" dxfId="177" priority="295" operator="equal">
      <formula>"Bajo"</formula>
    </cfRule>
  </conditionalFormatting>
  <conditionalFormatting sqref="O7">
    <cfRule type="cellIs" dxfId="176" priority="287" operator="equal">
      <formula>"Catastrófico"</formula>
    </cfRule>
    <cfRule type="cellIs" dxfId="175" priority="288" operator="equal">
      <formula>"Mayor"</formula>
    </cfRule>
    <cfRule type="cellIs" dxfId="174" priority="289" operator="equal">
      <formula>"Moderado"</formula>
    </cfRule>
    <cfRule type="cellIs" dxfId="173" priority="290" operator="equal">
      <formula>"Menor"</formula>
    </cfRule>
    <cfRule type="cellIs" dxfId="172" priority="291" operator="equal">
      <formula>"Leve"</formula>
    </cfRule>
  </conditionalFormatting>
  <conditionalFormatting sqref="AB82">
    <cfRule type="cellIs" dxfId="171" priority="210" operator="equal">
      <formula>"Muy Alta"</formula>
    </cfRule>
    <cfRule type="cellIs" dxfId="170" priority="211" operator="equal">
      <formula>"Alta"</formula>
    </cfRule>
    <cfRule type="cellIs" dxfId="169" priority="212" operator="equal">
      <formula>"Media"</formula>
    </cfRule>
    <cfRule type="cellIs" dxfId="168" priority="213" operator="equal">
      <formula>"Baja"</formula>
    </cfRule>
    <cfRule type="cellIs" dxfId="167" priority="214" operator="equal">
      <formula>"Muy Baja"</formula>
    </cfRule>
  </conditionalFormatting>
  <conditionalFormatting sqref="AD82">
    <cfRule type="cellIs" dxfId="166" priority="205" operator="equal">
      <formula>"Catastrófico"</formula>
    </cfRule>
    <cfRule type="cellIs" dxfId="165" priority="206" operator="equal">
      <formula>"Mayor"</formula>
    </cfRule>
    <cfRule type="cellIs" dxfId="164" priority="207" operator="equal">
      <formula>"Moderado"</formula>
    </cfRule>
    <cfRule type="cellIs" dxfId="163" priority="208" operator="equal">
      <formula>"Menor"</formula>
    </cfRule>
    <cfRule type="cellIs" dxfId="162" priority="209" operator="equal">
      <formula>"Leve"</formula>
    </cfRule>
  </conditionalFormatting>
  <conditionalFormatting sqref="AF82">
    <cfRule type="cellIs" dxfId="161" priority="201" operator="equal">
      <formula>"Extremo"</formula>
    </cfRule>
    <cfRule type="cellIs" dxfId="160" priority="202" operator="equal">
      <formula>"Alto"</formula>
    </cfRule>
    <cfRule type="cellIs" dxfId="159" priority="203" operator="equal">
      <formula>"Moderado"</formula>
    </cfRule>
    <cfRule type="cellIs" dxfId="158" priority="204" operator="equal">
      <formula>"Bajo"</formula>
    </cfRule>
  </conditionalFormatting>
  <conditionalFormatting sqref="K82">
    <cfRule type="cellIs" dxfId="157" priority="168" operator="equal">
      <formula>"Muy Alta"</formula>
    </cfRule>
    <cfRule type="cellIs" dxfId="156" priority="169" operator="equal">
      <formula>"Alta"</formula>
    </cfRule>
    <cfRule type="cellIs" dxfId="155" priority="170" operator="equal">
      <formula>"Media"</formula>
    </cfRule>
    <cfRule type="cellIs" dxfId="154" priority="171" operator="equal">
      <formula>"Baja"</formula>
    </cfRule>
    <cfRule type="cellIs" dxfId="153" priority="172" operator="equal">
      <formula>"Muy Baja"</formula>
    </cfRule>
  </conditionalFormatting>
  <conditionalFormatting sqref="AB83">
    <cfRule type="cellIs" dxfId="152" priority="196" operator="equal">
      <formula>"Muy Alta"</formula>
    </cfRule>
    <cfRule type="cellIs" dxfId="151" priority="197" operator="equal">
      <formula>"Alta"</formula>
    </cfRule>
    <cfRule type="cellIs" dxfId="150" priority="198" operator="equal">
      <formula>"Media"</formula>
    </cfRule>
    <cfRule type="cellIs" dxfId="149" priority="199" operator="equal">
      <formula>"Baja"</formula>
    </cfRule>
    <cfRule type="cellIs" dxfId="148" priority="200" operator="equal">
      <formula>"Muy Baja"</formula>
    </cfRule>
  </conditionalFormatting>
  <conditionalFormatting sqref="AD83">
    <cfRule type="cellIs" dxfId="147" priority="191" operator="equal">
      <formula>"Catastrófico"</formula>
    </cfRule>
    <cfRule type="cellIs" dxfId="146" priority="192" operator="equal">
      <formula>"Mayor"</formula>
    </cfRule>
    <cfRule type="cellIs" dxfId="145" priority="193" operator="equal">
      <formula>"Moderado"</formula>
    </cfRule>
    <cfRule type="cellIs" dxfId="144" priority="194" operator="equal">
      <formula>"Menor"</formula>
    </cfRule>
    <cfRule type="cellIs" dxfId="143" priority="195" operator="equal">
      <formula>"Leve"</formula>
    </cfRule>
  </conditionalFormatting>
  <conditionalFormatting sqref="AF83">
    <cfRule type="cellIs" dxfId="142" priority="187" operator="equal">
      <formula>"Extremo"</formula>
    </cfRule>
    <cfRule type="cellIs" dxfId="141" priority="188" operator="equal">
      <formula>"Alto"</formula>
    </cfRule>
    <cfRule type="cellIs" dxfId="140" priority="189" operator="equal">
      <formula>"Moderado"</formula>
    </cfRule>
    <cfRule type="cellIs" dxfId="139" priority="190" operator="equal">
      <formula>"Bajo"</formula>
    </cfRule>
  </conditionalFormatting>
  <conditionalFormatting sqref="AB84">
    <cfRule type="cellIs" dxfId="138" priority="182" operator="equal">
      <formula>"Muy Alta"</formula>
    </cfRule>
    <cfRule type="cellIs" dxfId="137" priority="183" operator="equal">
      <formula>"Alta"</formula>
    </cfRule>
    <cfRule type="cellIs" dxfId="136" priority="184" operator="equal">
      <formula>"Media"</formula>
    </cfRule>
    <cfRule type="cellIs" dxfId="135" priority="185" operator="equal">
      <formula>"Baja"</formula>
    </cfRule>
    <cfRule type="cellIs" dxfId="134" priority="186" operator="equal">
      <formula>"Muy Baja"</formula>
    </cfRule>
  </conditionalFormatting>
  <conditionalFormatting sqref="AD84">
    <cfRule type="cellIs" dxfId="133" priority="177" operator="equal">
      <formula>"Catastrófico"</formula>
    </cfRule>
    <cfRule type="cellIs" dxfId="132" priority="178" operator="equal">
      <formula>"Mayor"</formula>
    </cfRule>
    <cfRule type="cellIs" dxfId="131" priority="179" operator="equal">
      <formula>"Moderado"</formula>
    </cfRule>
    <cfRule type="cellIs" dxfId="130" priority="180" operator="equal">
      <formula>"Menor"</formula>
    </cfRule>
    <cfRule type="cellIs" dxfId="129" priority="181" operator="equal">
      <formula>"Leve"</formula>
    </cfRule>
  </conditionalFormatting>
  <conditionalFormatting sqref="AF84">
    <cfRule type="cellIs" dxfId="128" priority="173" operator="equal">
      <formula>"Extremo"</formula>
    </cfRule>
    <cfRule type="cellIs" dxfId="127" priority="174" operator="equal">
      <formula>"Alto"</formula>
    </cfRule>
    <cfRule type="cellIs" dxfId="126" priority="175" operator="equal">
      <formula>"Moderado"</formula>
    </cfRule>
    <cfRule type="cellIs" dxfId="125" priority="176" operator="equal">
      <formula>"Bajo"</formula>
    </cfRule>
  </conditionalFormatting>
  <conditionalFormatting sqref="O82">
    <cfRule type="cellIs" dxfId="124" priority="163" operator="equal">
      <formula>"Catastrófico"</formula>
    </cfRule>
    <cfRule type="cellIs" dxfId="123" priority="164" operator="equal">
      <formula>"Mayor"</formula>
    </cfRule>
    <cfRule type="cellIs" dxfId="122" priority="165" operator="equal">
      <formula>"Moderado"</formula>
    </cfRule>
    <cfRule type="cellIs" dxfId="121" priority="166" operator="equal">
      <formula>"Menor"</formula>
    </cfRule>
    <cfRule type="cellIs" dxfId="120" priority="167" operator="equal">
      <formula>"Leve"</formula>
    </cfRule>
  </conditionalFormatting>
  <conditionalFormatting sqref="Q82">
    <cfRule type="cellIs" dxfId="119" priority="159" operator="equal">
      <formula>"Extremo"</formula>
    </cfRule>
    <cfRule type="cellIs" dxfId="118" priority="160" operator="equal">
      <formula>"Alto"</formula>
    </cfRule>
    <cfRule type="cellIs" dxfId="117" priority="161" operator="equal">
      <formula>"Moderado"</formula>
    </cfRule>
    <cfRule type="cellIs" dxfId="116" priority="162" operator="equal">
      <formula>"Bajo"</formula>
    </cfRule>
  </conditionalFormatting>
  <conditionalFormatting sqref="N82:N84">
    <cfRule type="containsText" dxfId="115" priority="158" operator="containsText" text="❌">
      <formula>NOT(ISERROR(SEARCH("❌",N82)))</formula>
    </cfRule>
  </conditionalFormatting>
  <conditionalFormatting sqref="AF96">
    <cfRule type="cellIs" dxfId="114" priority="102" operator="equal">
      <formula>"Extremo"</formula>
    </cfRule>
    <cfRule type="cellIs" dxfId="113" priority="103" operator="equal">
      <formula>"Alto"</formula>
    </cfRule>
    <cfRule type="cellIs" dxfId="112" priority="104" operator="equal">
      <formula>"Moderado"</formula>
    </cfRule>
    <cfRule type="cellIs" dxfId="111" priority="105" operator="equal">
      <formula>"Bajo"</formula>
    </cfRule>
  </conditionalFormatting>
  <conditionalFormatting sqref="AB96">
    <cfRule type="cellIs" dxfId="110" priority="111" operator="equal">
      <formula>"Muy Alta"</formula>
    </cfRule>
    <cfRule type="cellIs" dxfId="109" priority="112" operator="equal">
      <formula>"Alta"</formula>
    </cfRule>
    <cfRule type="cellIs" dxfId="108" priority="113" operator="equal">
      <formula>"Media"</formula>
    </cfRule>
    <cfRule type="cellIs" dxfId="107" priority="114" operator="equal">
      <formula>"Baja"</formula>
    </cfRule>
    <cfRule type="cellIs" dxfId="106" priority="115" operator="equal">
      <formula>"Muy Baja"</formula>
    </cfRule>
  </conditionalFormatting>
  <conditionalFormatting sqref="AD96">
    <cfRule type="cellIs" dxfId="105" priority="106" operator="equal">
      <formula>"Catastrófico"</formula>
    </cfRule>
    <cfRule type="cellIs" dxfId="104" priority="107" operator="equal">
      <formula>"Mayor"</formula>
    </cfRule>
    <cfRule type="cellIs" dxfId="103" priority="108" operator="equal">
      <formula>"Moderado"</formula>
    </cfRule>
    <cfRule type="cellIs" dxfId="102" priority="109" operator="equal">
      <formula>"Menor"</formula>
    </cfRule>
    <cfRule type="cellIs" dxfId="101" priority="110" operator="equal">
      <formula>"Leve"</formula>
    </cfRule>
  </conditionalFormatting>
  <conditionalFormatting sqref="AB97:AB99">
    <cfRule type="cellIs" dxfId="100" priority="97" operator="equal">
      <formula>"Muy Alta"</formula>
    </cfRule>
    <cfRule type="cellIs" dxfId="99" priority="98" operator="equal">
      <formula>"Alta"</formula>
    </cfRule>
    <cfRule type="cellIs" dxfId="98" priority="99" operator="equal">
      <formula>"Media"</formula>
    </cfRule>
    <cfRule type="cellIs" dxfId="97" priority="100" operator="equal">
      <formula>"Baja"</formula>
    </cfRule>
    <cfRule type="cellIs" dxfId="96" priority="101" operator="equal">
      <formula>"Muy Baja"</formula>
    </cfRule>
  </conditionalFormatting>
  <conditionalFormatting sqref="AD97:AD99">
    <cfRule type="cellIs" dxfId="95" priority="92" operator="equal">
      <formula>"Catastrófico"</formula>
    </cfRule>
    <cfRule type="cellIs" dxfId="94" priority="93" operator="equal">
      <formula>"Mayor"</formula>
    </cfRule>
    <cfRule type="cellIs" dxfId="93" priority="94" operator="equal">
      <formula>"Moderado"</formula>
    </cfRule>
    <cfRule type="cellIs" dxfId="92" priority="95" operator="equal">
      <formula>"Menor"</formula>
    </cfRule>
    <cfRule type="cellIs" dxfId="91" priority="96" operator="equal">
      <formula>"Leve"</formula>
    </cfRule>
  </conditionalFormatting>
  <conditionalFormatting sqref="AF97:AF99">
    <cfRule type="cellIs" dxfId="90" priority="88" operator="equal">
      <formula>"Extremo"</formula>
    </cfRule>
    <cfRule type="cellIs" dxfId="89" priority="89" operator="equal">
      <formula>"Alto"</formula>
    </cfRule>
    <cfRule type="cellIs" dxfId="88" priority="90" operator="equal">
      <formula>"Moderado"</formula>
    </cfRule>
    <cfRule type="cellIs" dxfId="87" priority="91" operator="equal">
      <formula>"Bajo"</formula>
    </cfRule>
  </conditionalFormatting>
  <conditionalFormatting sqref="K97">
    <cfRule type="cellIs" dxfId="86" priority="83" operator="equal">
      <formula>"Muy Alta"</formula>
    </cfRule>
    <cfRule type="cellIs" dxfId="85" priority="84" operator="equal">
      <formula>"Alta"</formula>
    </cfRule>
    <cfRule type="cellIs" dxfId="84" priority="85" operator="equal">
      <formula>"Media"</formula>
    </cfRule>
    <cfRule type="cellIs" dxfId="83" priority="86" operator="equal">
      <formula>"Baja"</formula>
    </cfRule>
    <cfRule type="cellIs" dxfId="82" priority="87" operator="equal">
      <formula>"Muy Baja"</formula>
    </cfRule>
  </conditionalFormatting>
  <conditionalFormatting sqref="O97">
    <cfRule type="cellIs" dxfId="81" priority="78" operator="equal">
      <formula>"Catastrófico"</formula>
    </cfRule>
    <cfRule type="cellIs" dxfId="80" priority="79" operator="equal">
      <formula>"Mayor"</formula>
    </cfRule>
    <cfRule type="cellIs" dxfId="79" priority="80" operator="equal">
      <formula>"Moderado"</formula>
    </cfRule>
    <cfRule type="cellIs" dxfId="78" priority="81" operator="equal">
      <formula>"Menor"</formula>
    </cfRule>
    <cfRule type="cellIs" dxfId="77" priority="82" operator="equal">
      <formula>"Leve"</formula>
    </cfRule>
  </conditionalFormatting>
  <conditionalFormatting sqref="Q97">
    <cfRule type="cellIs" dxfId="76" priority="74" operator="equal">
      <formula>"Extremo"</formula>
    </cfRule>
    <cfRule type="cellIs" dxfId="75" priority="75" operator="equal">
      <formula>"Alto"</formula>
    </cfRule>
    <cfRule type="cellIs" dxfId="74" priority="76" operator="equal">
      <formula>"Moderado"</formula>
    </cfRule>
    <cfRule type="cellIs" dxfId="73" priority="77" operator="equal">
      <formula>"Bajo"</formula>
    </cfRule>
  </conditionalFormatting>
  <conditionalFormatting sqref="N97">
    <cfRule type="containsText" dxfId="72" priority="73" operator="containsText" text="❌">
      <formula>NOT(ISERROR(SEARCH("❌",N97)))</formula>
    </cfRule>
  </conditionalFormatting>
  <conditionalFormatting sqref="AB97:AB99">
    <cfRule type="cellIs" dxfId="71" priority="68" operator="equal">
      <formula>"Muy Alta"</formula>
    </cfRule>
    <cfRule type="cellIs" dxfId="70" priority="69" operator="equal">
      <formula>"Alta"</formula>
    </cfRule>
    <cfRule type="cellIs" dxfId="69" priority="70" operator="equal">
      <formula>"Media"</formula>
    </cfRule>
    <cfRule type="cellIs" dxfId="68" priority="71" operator="equal">
      <formula>"Baja"</formula>
    </cfRule>
    <cfRule type="cellIs" dxfId="67" priority="72" operator="equal">
      <formula>"Muy Baja"</formula>
    </cfRule>
  </conditionalFormatting>
  <conditionalFormatting sqref="AD97:AD99">
    <cfRule type="cellIs" dxfId="66" priority="63" operator="equal">
      <formula>"Catastrófico"</formula>
    </cfRule>
    <cfRule type="cellIs" dxfId="65" priority="64" operator="equal">
      <formula>"Mayor"</formula>
    </cfRule>
    <cfRule type="cellIs" dxfId="64" priority="65" operator="equal">
      <formula>"Moderado"</formula>
    </cfRule>
    <cfRule type="cellIs" dxfId="63" priority="66" operator="equal">
      <formula>"Menor"</formula>
    </cfRule>
    <cfRule type="cellIs" dxfId="62" priority="67" operator="equal">
      <formula>"Leve"</formula>
    </cfRule>
  </conditionalFormatting>
  <conditionalFormatting sqref="AF97:AF99">
    <cfRule type="cellIs" dxfId="61" priority="59" operator="equal">
      <formula>"Extremo"</formula>
    </cfRule>
    <cfRule type="cellIs" dxfId="60" priority="60" operator="equal">
      <formula>"Alto"</formula>
    </cfRule>
    <cfRule type="cellIs" dxfId="59" priority="61" operator="equal">
      <formula>"Moderado"</formula>
    </cfRule>
    <cfRule type="cellIs" dxfId="58" priority="62" operator="equal">
      <formula>"Bajo"</formula>
    </cfRule>
  </conditionalFormatting>
  <conditionalFormatting sqref="N97">
    <cfRule type="containsText" dxfId="57" priority="58" operator="containsText" text="❌">
      <formula>NOT(ISERROR(SEARCH("❌",N97)))</formula>
    </cfRule>
  </conditionalFormatting>
  <conditionalFormatting sqref="AB67">
    <cfRule type="cellIs" dxfId="56" priority="53" operator="equal">
      <formula>"Muy Alta"</formula>
    </cfRule>
    <cfRule type="cellIs" dxfId="55" priority="54" operator="equal">
      <formula>"Alta"</formula>
    </cfRule>
    <cfRule type="cellIs" dxfId="54" priority="55" operator="equal">
      <formula>"Media"</formula>
    </cfRule>
    <cfRule type="cellIs" dxfId="53" priority="56" operator="equal">
      <formula>"Baja"</formula>
    </cfRule>
    <cfRule type="cellIs" dxfId="52" priority="57" operator="equal">
      <formula>"Muy Baja"</formula>
    </cfRule>
  </conditionalFormatting>
  <conditionalFormatting sqref="AD67">
    <cfRule type="cellIs" dxfId="51" priority="48" operator="equal">
      <formula>"Catastrófico"</formula>
    </cfRule>
    <cfRule type="cellIs" dxfId="50" priority="49" operator="equal">
      <formula>"Mayor"</formula>
    </cfRule>
    <cfRule type="cellIs" dxfId="49" priority="50" operator="equal">
      <formula>"Moderado"</formula>
    </cfRule>
    <cfRule type="cellIs" dxfId="48" priority="51" operator="equal">
      <formula>"Menor"</formula>
    </cfRule>
    <cfRule type="cellIs" dxfId="47" priority="52" operator="equal">
      <formula>"Leve"</formula>
    </cfRule>
  </conditionalFormatting>
  <conditionalFormatting sqref="AF67">
    <cfRule type="cellIs" dxfId="46"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AB68">
    <cfRule type="cellIs" dxfId="42" priority="39" operator="equal">
      <formula>"Muy Alta"</formula>
    </cfRule>
    <cfRule type="cellIs" dxfId="41" priority="40" operator="equal">
      <formula>"Alta"</formula>
    </cfRule>
    <cfRule type="cellIs" dxfId="40" priority="41" operator="equal">
      <formula>"Media"</formula>
    </cfRule>
    <cfRule type="cellIs" dxfId="39" priority="42" operator="equal">
      <formula>"Baja"</formula>
    </cfRule>
    <cfRule type="cellIs" dxfId="38" priority="43" operator="equal">
      <formula>"Muy Baja"</formula>
    </cfRule>
  </conditionalFormatting>
  <conditionalFormatting sqref="AD68">
    <cfRule type="cellIs" dxfId="37" priority="34" operator="equal">
      <formula>"Catastrófico"</formula>
    </cfRule>
    <cfRule type="cellIs" dxfId="36" priority="35" operator="equal">
      <formula>"Mayor"</formula>
    </cfRule>
    <cfRule type="cellIs" dxfId="35" priority="36" operator="equal">
      <formula>"Moderado"</formula>
    </cfRule>
    <cfRule type="cellIs" dxfId="34" priority="37" operator="equal">
      <formula>"Menor"</formula>
    </cfRule>
    <cfRule type="cellIs" dxfId="33" priority="38" operator="equal">
      <formula>"Leve"</formula>
    </cfRule>
  </conditionalFormatting>
  <conditionalFormatting sqref="AF68">
    <cfRule type="cellIs" dxfId="32" priority="30" operator="equal">
      <formula>"Extremo"</formula>
    </cfRule>
    <cfRule type="cellIs" dxfId="31" priority="31" operator="equal">
      <formula>"Alto"</formula>
    </cfRule>
    <cfRule type="cellIs" dxfId="30" priority="32" operator="equal">
      <formula>"Moderado"</formula>
    </cfRule>
    <cfRule type="cellIs" dxfId="29" priority="33" operator="equal">
      <formula>"Bajo"</formula>
    </cfRule>
  </conditionalFormatting>
  <conditionalFormatting sqref="AB69">
    <cfRule type="cellIs" dxfId="28" priority="25" operator="equal">
      <formula>"Muy Alta"</formula>
    </cfRule>
    <cfRule type="cellIs" dxfId="27" priority="26" operator="equal">
      <formula>"Alta"</formula>
    </cfRule>
    <cfRule type="cellIs" dxfId="26" priority="27" operator="equal">
      <formula>"Media"</formula>
    </cfRule>
    <cfRule type="cellIs" dxfId="25" priority="28" operator="equal">
      <formula>"Baja"</formula>
    </cfRule>
    <cfRule type="cellIs" dxfId="24" priority="29" operator="equal">
      <formula>"Muy Baja"</formula>
    </cfRule>
  </conditionalFormatting>
  <conditionalFormatting sqref="AD69">
    <cfRule type="cellIs" dxfId="23" priority="20" operator="equal">
      <formula>"Catastrófico"</formula>
    </cfRule>
    <cfRule type="cellIs" dxfId="22" priority="21" operator="equal">
      <formula>"Mayor"</formula>
    </cfRule>
    <cfRule type="cellIs" dxfId="21" priority="22" operator="equal">
      <formula>"Moderado"</formula>
    </cfRule>
    <cfRule type="cellIs" dxfId="20" priority="23" operator="equal">
      <formula>"Menor"</formula>
    </cfRule>
    <cfRule type="cellIs" dxfId="19" priority="24" operator="equal">
      <formula>"Leve"</formula>
    </cfRule>
  </conditionalFormatting>
  <conditionalFormatting sqref="AF69">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K67">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O67">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Q67">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N67:N69">
    <cfRule type="containsText" dxfId="0" priority="1" operator="containsText" text="❌">
      <formula>NOT(ISERROR(SEARCH("❌",N67)))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AM127:AM150 AM16:AM119</xm:sqref>
        </x14:dataValidation>
        <x14:dataValidation type="list" allowBlank="1" showInputMessage="1" showErrorMessage="1">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14:formula1>
            <xm:f>'Tabla Valoración controles'!$D$4:$D$6</xm:f>
          </x14:formula1>
          <xm:sqref>U100:U150 U7:U95</xm:sqref>
        </x14:dataValidation>
        <x14:dataValidation type="list" allowBlank="1" showInputMessage="1" showErrorMessage="1">
          <x14:formula1>
            <xm:f>'Tabla Valoración controles'!$D$7:$D$8</xm:f>
          </x14:formula1>
          <xm:sqref>V100:V150 V7:V95</xm:sqref>
        </x14:dataValidation>
        <x14:dataValidation type="list" allowBlank="1" showInputMessage="1" showErrorMessage="1">
          <x14:formula1>
            <xm:f>'Tabla Valoración controles'!$D$9:$D$10</xm:f>
          </x14:formula1>
          <xm:sqref>X100:X150 X7:X95</xm:sqref>
        </x14:dataValidation>
        <x14:dataValidation type="list" allowBlank="1" showInputMessage="1" showErrorMessage="1">
          <x14:formula1>
            <xm:f>'Tabla Valoración controles'!$D$11:$D$12</xm:f>
          </x14:formula1>
          <xm:sqref>Y100:Y150 Y7:Y95</xm:sqref>
        </x14:dataValidation>
        <x14:dataValidation type="list" allowBlank="1" showInputMessage="1" showErrorMessage="1">
          <x14:formula1>
            <xm:f>'Tabla Valoración controles'!$D$13:$D$14</xm:f>
          </x14:formula1>
          <xm:sqref>Z100:Z150 Z7:Z95</xm:sqref>
        </x14:dataValidation>
        <x14:dataValidation type="list" allowBlank="1" showInputMessage="1" showErrorMessage="1">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topLeftCell="E1" zoomScale="40" zoomScaleNormal="40" workbookViewId="0">
      <selection activeCell="AJ64" sqref="AJ64:AK65"/>
    </sheetView>
  </sheetViews>
  <sheetFormatPr baseColWidth="10" defaultRowHeight="14.5" x14ac:dyDescent="0.35"/>
  <cols>
    <col min="2" max="9" width="5.7265625" customWidth="1"/>
    <col min="10" max="59" width="8.7265625" customWidth="1"/>
    <col min="61" max="65" width="5.7265625" customWidth="1"/>
    <col min="66" max="66" width="20.7265625" customWidth="1"/>
  </cols>
  <sheetData>
    <row r="1" spans="1:119"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row>
    <row r="2" spans="1:119" ht="18" customHeight="1" x14ac:dyDescent="0.35">
      <c r="A2" s="56"/>
      <c r="B2" s="464" t="s">
        <v>135</v>
      </c>
      <c r="C2" s="464"/>
      <c r="D2" s="464"/>
      <c r="E2" s="464"/>
      <c r="F2" s="464"/>
      <c r="G2" s="464"/>
      <c r="H2" s="464"/>
      <c r="I2" s="464"/>
      <c r="J2" s="306" t="s">
        <v>2</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row>
    <row r="3" spans="1:119" ht="18.75" customHeight="1" x14ac:dyDescent="0.35">
      <c r="A3" s="56"/>
      <c r="B3" s="464"/>
      <c r="C3" s="464"/>
      <c r="D3" s="464"/>
      <c r="E3" s="464"/>
      <c r="F3" s="464"/>
      <c r="G3" s="464"/>
      <c r="H3" s="464"/>
      <c r="I3" s="464"/>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row>
    <row r="4" spans="1:119" ht="15" customHeight="1" x14ac:dyDescent="0.35">
      <c r="A4" s="56"/>
      <c r="B4" s="464"/>
      <c r="C4" s="464"/>
      <c r="D4" s="464"/>
      <c r="E4" s="464"/>
      <c r="F4" s="464"/>
      <c r="G4" s="464"/>
      <c r="H4" s="464"/>
      <c r="I4" s="464"/>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row>
    <row r="5" spans="1:119"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row>
    <row r="6" spans="1:119" ht="15" customHeight="1" x14ac:dyDescent="0.35">
      <c r="A6" s="56"/>
      <c r="B6" s="307" t="s">
        <v>4</v>
      </c>
      <c r="C6" s="307"/>
      <c r="D6" s="308"/>
      <c r="E6" s="465" t="s">
        <v>107</v>
      </c>
      <c r="F6" s="466"/>
      <c r="G6" s="466"/>
      <c r="H6" s="466"/>
      <c r="I6" s="467"/>
      <c r="J6" s="475" t="str">
        <f>IF(AND('Mapa final'!$K$7="Muy Alta",'Mapa final'!$O$7="Leve"),CONCATENATE("R",'Mapa final'!$A$7),"")</f>
        <v/>
      </c>
      <c r="K6" s="476"/>
      <c r="L6" s="476" t="str">
        <f>IF(AND('Mapa final'!$K$10="Muy Alta",'Mapa final'!$O$10="Leve"),CONCATENATE("R",'Mapa final'!$A$10),"")</f>
        <v/>
      </c>
      <c r="M6" s="476"/>
      <c r="N6" s="476" t="str">
        <f>IF(AND('Mapa final'!$K$13="Muy Alta",'Mapa final'!$O$13="Leve"),CONCATENATE("R",'Mapa final'!$A$13),"")</f>
        <v/>
      </c>
      <c r="O6" s="476"/>
      <c r="P6" s="476" t="e">
        <f>IF(AND('Mapa final'!#REF!="Muy Alta",'Mapa final'!#REF!="Leve"),CONCATENATE("R",'Mapa final'!#REF!),"")</f>
        <v>#REF!</v>
      </c>
      <c r="Q6" s="476"/>
      <c r="R6" s="476" t="e">
        <f>IF(AND('Mapa final'!#REF!="Muy Alta",'Mapa final'!#REF!="Leve"),CONCATENATE("R",'Mapa final'!#REF!),"")</f>
        <v>#REF!</v>
      </c>
      <c r="S6" s="476"/>
      <c r="T6" s="494" t="str">
        <f>IF(AND('Mapa final'!$K$7="Muy Alta",'Mapa final'!$O$7="Menor"),CONCATENATE("R",'Mapa final'!$A$7),"")</f>
        <v/>
      </c>
      <c r="U6" s="495"/>
      <c r="V6" s="495" t="str">
        <f>IF(AND('Mapa final'!$K$10="Muy Alta",'Mapa final'!$O$10="Menor"),CONCATENATE("R",'Mapa final'!$A$10),"")</f>
        <v/>
      </c>
      <c r="W6" s="495"/>
      <c r="X6" s="495" t="str">
        <f>IF(AND('Mapa final'!$K$13="Muy Alta",'Mapa final'!$O$13="Menor"),CONCATENATE("R",'Mapa final'!$A$13),"")</f>
        <v/>
      </c>
      <c r="Y6" s="495"/>
      <c r="Z6" s="495" t="e">
        <f>IF(AND('Mapa final'!#REF!="Muy Alta",'Mapa final'!#REF!="Menor"),CONCATENATE("R",'Mapa final'!#REF!),"")</f>
        <v>#REF!</v>
      </c>
      <c r="AA6" s="495"/>
      <c r="AB6" s="495" t="e">
        <f>IF(AND('Mapa final'!#REF!="Muy Alta",'Mapa final'!#REF!="Menor"),CONCATENATE("R",'Mapa final'!#REF!),"")</f>
        <v>#REF!</v>
      </c>
      <c r="AC6" s="496"/>
      <c r="AD6" s="494" t="str">
        <f>IF(AND('Mapa final'!$K$7="Muy Alta",'Mapa final'!$O$7="Moderado"),CONCATENATE("R",'Mapa final'!$A$7),"")</f>
        <v/>
      </c>
      <c r="AE6" s="495"/>
      <c r="AF6" s="495" t="str">
        <f>IF(AND('Mapa final'!$K$10="Muy Alta",'Mapa final'!$O$10="Moderado"),CONCATENATE("R",'Mapa final'!$A$10),"")</f>
        <v/>
      </c>
      <c r="AG6" s="495"/>
      <c r="AH6" s="495" t="str">
        <f>IF(AND('Mapa final'!$K$13="Muy Alta",'Mapa final'!$O$13="Moderado"),CONCATENATE("R",'Mapa final'!$A$13),"")</f>
        <v/>
      </c>
      <c r="AI6" s="495"/>
      <c r="AJ6" s="495" t="e">
        <f>IF(AND('Mapa final'!#REF!="Muy Alta",'Mapa final'!#REF!="Moderado"),CONCATENATE("R",'Mapa final'!#REF!),"")</f>
        <v>#REF!</v>
      </c>
      <c r="AK6" s="495"/>
      <c r="AL6" s="495" t="e">
        <f>IF(AND('Mapa final'!#REF!="Muy Alta",'Mapa final'!#REF!="Moderado"),CONCATENATE("R",'Mapa final'!#REF!),"")</f>
        <v>#REF!</v>
      </c>
      <c r="AM6" s="496"/>
      <c r="AN6" s="494" t="str">
        <f>IF(AND('Mapa final'!$K$7="Muy Alta",'Mapa final'!$O$7="Mayor"),CONCATENATE("R",'Mapa final'!$A$7),"")</f>
        <v/>
      </c>
      <c r="AO6" s="495"/>
      <c r="AP6" s="495" t="str">
        <f>IF(AND('Mapa final'!$K$10="Muy Alta",'Mapa final'!$O$10="Mayor"),CONCATENATE("R",'Mapa final'!$A$10),"")</f>
        <v/>
      </c>
      <c r="AQ6" s="495"/>
      <c r="AR6" s="495" t="str">
        <f>IF(AND('Mapa final'!$K$13="Muy Alta",'Mapa final'!$O$13="Mayor"),CONCATENATE("R",'Mapa final'!$A$13),"")</f>
        <v/>
      </c>
      <c r="AS6" s="495"/>
      <c r="AT6" s="495" t="e">
        <f>IF(AND('Mapa final'!#REF!="Muy Alta",'Mapa final'!#REF!="Mayor"),CONCATENATE("R",'Mapa final'!#REF!),"")</f>
        <v>#REF!</v>
      </c>
      <c r="AU6" s="495"/>
      <c r="AV6" s="495" t="e">
        <f>IF(AND('Mapa final'!#REF!="Muy Alta",'Mapa final'!#REF!="Mayor"),CONCATENATE("R",'Mapa final'!#REF!),"")</f>
        <v>#REF!</v>
      </c>
      <c r="AW6" s="496"/>
      <c r="AX6" s="486" t="str">
        <f>IF(AND('Mapa final'!$K$7="Muy Alta",'Mapa final'!$O$7="Catastrófico"),CONCATENATE("R",'Mapa final'!$A$7),"")</f>
        <v/>
      </c>
      <c r="AY6" s="487"/>
      <c r="AZ6" s="487" t="str">
        <f>IF(AND('Mapa final'!$K$10="Muy Alta",'Mapa final'!$O$10="Catastrófico"),CONCATENATE("R",'Mapa final'!$A$10),"")</f>
        <v/>
      </c>
      <c r="BA6" s="487"/>
      <c r="BB6" s="487" t="str">
        <f>IF(AND('Mapa final'!$K$13="Muy Alta",'Mapa final'!$O$13="Catastrófico"),CONCATENATE("R",'Mapa final'!$A$13),"")</f>
        <v/>
      </c>
      <c r="BC6" s="487"/>
      <c r="BD6" s="487" t="e">
        <f>IF(AND('Mapa final'!#REF!="Muy Alta",'Mapa final'!#REF!="Catastrófico"),CONCATENATE("R",'Mapa final'!#REF!),"")</f>
        <v>#REF!</v>
      </c>
      <c r="BE6" s="487"/>
      <c r="BF6" s="487" t="e">
        <f>IF(AND('Mapa final'!#REF!="Muy Alta",'Mapa final'!#REF!="Catastrófico"),CONCATENATE("R",'Mapa final'!#REF!),"")</f>
        <v>#REF!</v>
      </c>
      <c r="BG6" s="488"/>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row>
    <row r="7" spans="1:119" ht="15" customHeight="1" x14ac:dyDescent="0.35">
      <c r="A7" s="56"/>
      <c r="B7" s="307"/>
      <c r="C7" s="307"/>
      <c r="D7" s="308"/>
      <c r="E7" s="468"/>
      <c r="F7" s="469"/>
      <c r="G7" s="469"/>
      <c r="H7" s="469"/>
      <c r="I7" s="470"/>
      <c r="J7" s="477"/>
      <c r="K7" s="450"/>
      <c r="L7" s="450"/>
      <c r="M7" s="450"/>
      <c r="N7" s="450"/>
      <c r="O7" s="450"/>
      <c r="P7" s="450"/>
      <c r="Q7" s="450"/>
      <c r="R7" s="450"/>
      <c r="S7" s="450"/>
      <c r="T7" s="491"/>
      <c r="U7" s="450"/>
      <c r="V7" s="450"/>
      <c r="W7" s="450"/>
      <c r="X7" s="450"/>
      <c r="Y7" s="450"/>
      <c r="Z7" s="450"/>
      <c r="AA7" s="450"/>
      <c r="AB7" s="450"/>
      <c r="AC7" s="490"/>
      <c r="AD7" s="491"/>
      <c r="AE7" s="450"/>
      <c r="AF7" s="450"/>
      <c r="AG7" s="450"/>
      <c r="AH7" s="450"/>
      <c r="AI7" s="450"/>
      <c r="AJ7" s="450"/>
      <c r="AK7" s="450"/>
      <c r="AL7" s="450"/>
      <c r="AM7" s="490"/>
      <c r="AN7" s="491"/>
      <c r="AO7" s="450"/>
      <c r="AP7" s="450"/>
      <c r="AQ7" s="450"/>
      <c r="AR7" s="450"/>
      <c r="AS7" s="450"/>
      <c r="AT7" s="450"/>
      <c r="AU7" s="450"/>
      <c r="AV7" s="450"/>
      <c r="AW7" s="490"/>
      <c r="AX7" s="482"/>
      <c r="AY7" s="480"/>
      <c r="AZ7" s="480"/>
      <c r="BA7" s="480"/>
      <c r="BB7" s="480"/>
      <c r="BC7" s="480"/>
      <c r="BD7" s="480"/>
      <c r="BE7" s="480"/>
      <c r="BF7" s="480"/>
      <c r="BG7" s="481"/>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row>
    <row r="8" spans="1:119" ht="15" customHeight="1" x14ac:dyDescent="0.35">
      <c r="A8" s="56"/>
      <c r="B8" s="307"/>
      <c r="C8" s="307"/>
      <c r="D8" s="308"/>
      <c r="E8" s="468"/>
      <c r="F8" s="469"/>
      <c r="G8" s="469"/>
      <c r="H8" s="469"/>
      <c r="I8" s="470"/>
      <c r="J8" s="477" t="str">
        <f>IF(AND('Mapa final'!$K$16="Muy Alta",'Mapa final'!$O$16="Leve"),CONCATENATE("R",'Mapa final'!$A$16),"")</f>
        <v/>
      </c>
      <c r="K8" s="450"/>
      <c r="L8" s="450" t="str">
        <f>IF(AND('Mapa final'!$K$19="Muy Alta",'Mapa final'!$O$19="Leve"),CONCATENATE("R",'Mapa final'!$A$19),"")</f>
        <v/>
      </c>
      <c r="M8" s="450"/>
      <c r="N8" s="450" t="str">
        <f>IF(AND('Mapa final'!$K$22="Muy Alta",'Mapa final'!$O$22="Leve"),CONCATENATE("R",'Mapa final'!$A$22),"")</f>
        <v/>
      </c>
      <c r="O8" s="450"/>
      <c r="P8" s="450" t="str">
        <f>IF(AND('Mapa final'!$K$25="Muy Alta",'Mapa final'!$O$25="Leve"),CONCATENATE("R",'Mapa final'!$A$25),"")</f>
        <v/>
      </c>
      <c r="Q8" s="450"/>
      <c r="R8" s="450" t="str">
        <f>IF(AND('Mapa final'!$K$28="Muy Alta",'Mapa final'!$O$28="Leve"),CONCATENATE("R",'Mapa final'!$A$28),"")</f>
        <v/>
      </c>
      <c r="S8" s="450"/>
      <c r="T8" s="491" t="str">
        <f>IF(AND('Mapa final'!$K$16="Muy Alta",'Mapa final'!$O$16="Menor"),CONCATENATE("R",'Mapa final'!$A$16),"")</f>
        <v/>
      </c>
      <c r="U8" s="450"/>
      <c r="V8" s="450" t="str">
        <f>IF(AND('Mapa final'!$K$19="Muy Alta",'Mapa final'!$O$19="Menor"),CONCATENATE("R",'Mapa final'!$A$19),"")</f>
        <v/>
      </c>
      <c r="W8" s="450"/>
      <c r="X8" s="450" t="str">
        <f>IF(AND('Mapa final'!$K$22="Muy Alta",'Mapa final'!$O$22="Menor"),CONCATENATE("R",'Mapa final'!$A$22),"")</f>
        <v/>
      </c>
      <c r="Y8" s="450"/>
      <c r="Z8" s="450" t="str">
        <f>IF(AND('Mapa final'!$K$25="Muy Alta",'Mapa final'!$O$25="Menor"),CONCATENATE("R",'Mapa final'!$A$25),"")</f>
        <v/>
      </c>
      <c r="AA8" s="450"/>
      <c r="AB8" s="450" t="str">
        <f>IF(AND('Mapa final'!$K$28="Muy Alta",'Mapa final'!$O$28="Menor"),CONCATENATE("R",'Mapa final'!$A$28),"")</f>
        <v/>
      </c>
      <c r="AC8" s="490"/>
      <c r="AD8" s="491" t="str">
        <f>IF(AND('Mapa final'!$K$16="Muy Alta",'Mapa final'!$O$16="Moderado"),CONCATENATE("R",'Mapa final'!$A$16),"")</f>
        <v/>
      </c>
      <c r="AE8" s="450"/>
      <c r="AF8" s="450" t="str">
        <f>IF(AND('Mapa final'!$K$19="Muy Alta",'Mapa final'!$O$19="Moderado"),CONCATENATE("R",'Mapa final'!$A$19),"")</f>
        <v/>
      </c>
      <c r="AG8" s="450"/>
      <c r="AH8" s="450" t="str">
        <f>IF(AND('Mapa final'!$K$22="Muy Alta",'Mapa final'!$O$22="Moderado"),CONCATENATE("R",'Mapa final'!$A$22),"")</f>
        <v/>
      </c>
      <c r="AI8" s="450"/>
      <c r="AJ8" s="450" t="str">
        <f>IF(AND('Mapa final'!$K$25="Muy Alta",'Mapa final'!$O$25="Moderado"),CONCATENATE("R",'Mapa final'!$A$25),"")</f>
        <v/>
      </c>
      <c r="AK8" s="450"/>
      <c r="AL8" s="450" t="str">
        <f>IF(AND('Mapa final'!$K$28="Muy Alta",'Mapa final'!$O$28="Moderado"),CONCATENATE("R",'Mapa final'!$A$28),"")</f>
        <v/>
      </c>
      <c r="AM8" s="490"/>
      <c r="AN8" s="491" t="str">
        <f>IF(AND('Mapa final'!$K$16="Muy Alta",'Mapa final'!$O$16="Mayor"),CONCATENATE("R",'Mapa final'!$A$16),"")</f>
        <v/>
      </c>
      <c r="AO8" s="450"/>
      <c r="AP8" s="450" t="str">
        <f>IF(AND('Mapa final'!$K$19="Muy Alta",'Mapa final'!$O$19="Mayor"),CONCATENATE("R",'Mapa final'!$A$19),"")</f>
        <v/>
      </c>
      <c r="AQ8" s="450"/>
      <c r="AR8" s="450" t="str">
        <f>IF(AND('Mapa final'!$K$22="Muy Alta",'Mapa final'!$O$22="Mayor"),CONCATENATE("R",'Mapa final'!$A$22),"")</f>
        <v/>
      </c>
      <c r="AS8" s="450"/>
      <c r="AT8" s="450" t="str">
        <f>IF(AND('Mapa final'!$K$25="Muy Alta",'Mapa final'!$O$25="Mayor"),CONCATENATE("R",'Mapa final'!$A$25),"")</f>
        <v/>
      </c>
      <c r="AU8" s="450"/>
      <c r="AV8" s="450" t="str">
        <f>IF(AND('Mapa final'!$K$28="Muy Alta",'Mapa final'!$O$28="Mayor"),CONCATENATE("R",'Mapa final'!$A$28),"")</f>
        <v/>
      </c>
      <c r="AW8" s="490"/>
      <c r="AX8" s="482" t="str">
        <f>IF(AND('Mapa final'!$K$16="Muy Alta",'Mapa final'!$O$16="Catastrófico"),CONCATENATE("R",'Mapa final'!$A$16),"")</f>
        <v/>
      </c>
      <c r="AY8" s="480"/>
      <c r="AZ8" s="480" t="str">
        <f>IF(AND('Mapa final'!$K$19="Muy Alta",'Mapa final'!$O$19="Catastrófico"),CONCATENATE("R",'Mapa final'!$A$19),"")</f>
        <v/>
      </c>
      <c r="BA8" s="480"/>
      <c r="BB8" s="480" t="str">
        <f>IF(AND('Mapa final'!$K$22="Muy Alta",'Mapa final'!$O$22="Catastrófico"),CONCATENATE("R",'Mapa final'!$A$22),"")</f>
        <v/>
      </c>
      <c r="BC8" s="480"/>
      <c r="BD8" s="480" t="str">
        <f>IF(AND('Mapa final'!$K$25="Muy Alta",'Mapa final'!$O$25="Catastrófico"),CONCATENATE("R",'Mapa final'!$A$25),"")</f>
        <v/>
      </c>
      <c r="BE8" s="480"/>
      <c r="BF8" s="480" t="str">
        <f>IF(AND('Mapa final'!$K$28="Muy Alta",'Mapa final'!$O$28="Catastrófico"),CONCATENATE("R",'Mapa final'!$A$28),"")</f>
        <v/>
      </c>
      <c r="BG8" s="481"/>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row>
    <row r="9" spans="1:119" ht="15" customHeight="1" x14ac:dyDescent="0.35">
      <c r="A9" s="56"/>
      <c r="B9" s="307"/>
      <c r="C9" s="307"/>
      <c r="D9" s="308"/>
      <c r="E9" s="468"/>
      <c r="F9" s="469"/>
      <c r="G9" s="469"/>
      <c r="H9" s="469"/>
      <c r="I9" s="470"/>
      <c r="J9" s="477"/>
      <c r="K9" s="450"/>
      <c r="L9" s="450"/>
      <c r="M9" s="450"/>
      <c r="N9" s="450"/>
      <c r="O9" s="450"/>
      <c r="P9" s="450"/>
      <c r="Q9" s="450"/>
      <c r="R9" s="450"/>
      <c r="S9" s="450"/>
      <c r="T9" s="491"/>
      <c r="U9" s="450"/>
      <c r="V9" s="450"/>
      <c r="W9" s="450"/>
      <c r="X9" s="450"/>
      <c r="Y9" s="450"/>
      <c r="Z9" s="450"/>
      <c r="AA9" s="450"/>
      <c r="AB9" s="450"/>
      <c r="AC9" s="490"/>
      <c r="AD9" s="491"/>
      <c r="AE9" s="450"/>
      <c r="AF9" s="450"/>
      <c r="AG9" s="450"/>
      <c r="AH9" s="450"/>
      <c r="AI9" s="450"/>
      <c r="AJ9" s="450"/>
      <c r="AK9" s="450"/>
      <c r="AL9" s="450"/>
      <c r="AM9" s="490"/>
      <c r="AN9" s="491"/>
      <c r="AO9" s="450"/>
      <c r="AP9" s="450"/>
      <c r="AQ9" s="450"/>
      <c r="AR9" s="450"/>
      <c r="AS9" s="450"/>
      <c r="AT9" s="450"/>
      <c r="AU9" s="450"/>
      <c r="AV9" s="450"/>
      <c r="AW9" s="490"/>
      <c r="AX9" s="482"/>
      <c r="AY9" s="480"/>
      <c r="AZ9" s="480"/>
      <c r="BA9" s="480"/>
      <c r="BB9" s="480"/>
      <c r="BC9" s="480"/>
      <c r="BD9" s="480"/>
      <c r="BE9" s="480"/>
      <c r="BF9" s="480"/>
      <c r="BG9" s="481"/>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row>
    <row r="10" spans="1:119" ht="15" customHeight="1" x14ac:dyDescent="0.35">
      <c r="A10" s="56"/>
      <c r="B10" s="307"/>
      <c r="C10" s="307"/>
      <c r="D10" s="308"/>
      <c r="E10" s="468"/>
      <c r="F10" s="469"/>
      <c r="G10" s="469"/>
      <c r="H10" s="469"/>
      <c r="I10" s="470"/>
      <c r="J10" s="477" t="str">
        <f>IF(AND('Mapa final'!$K$31="Muy Alta",'Mapa final'!$O$31="Leve"),CONCATENATE("R",'Mapa final'!$A$31),"")</f>
        <v/>
      </c>
      <c r="K10" s="450"/>
      <c r="L10" s="450" t="str">
        <f>IF(AND('Mapa final'!$K$34="Muy Alta",'Mapa final'!$O$34="Leve"),CONCATENATE("R",'Mapa final'!$A$34),"")</f>
        <v/>
      </c>
      <c r="M10" s="450"/>
      <c r="N10" s="450" t="str">
        <f>IF(AND('Mapa final'!$K$37="Muy Alta",'Mapa final'!$O$37="Leve"),CONCATENATE("R",'Mapa final'!$A$37),"")</f>
        <v/>
      </c>
      <c r="O10" s="450"/>
      <c r="P10" s="450" t="str">
        <f>IF(AND('Mapa final'!$K$40="Muy Alta",'Mapa final'!$O$40="Leve"),CONCATENATE("R",'Mapa final'!$A$40),"")</f>
        <v/>
      </c>
      <c r="Q10" s="450"/>
      <c r="R10" s="450" t="str">
        <f>IF(AND('Mapa final'!$K$43="Muy Alta",'Mapa final'!$O$43="Leve"),CONCATENATE("R",'Mapa final'!$A$43),"")</f>
        <v/>
      </c>
      <c r="S10" s="450"/>
      <c r="T10" s="491" t="str">
        <f>IF(AND('Mapa final'!$K$31="Muy Alta",'Mapa final'!$O$31="Menor"),CONCATENATE("R",'Mapa final'!$A$31),"")</f>
        <v/>
      </c>
      <c r="U10" s="450"/>
      <c r="V10" s="450" t="str">
        <f>IF(AND('Mapa final'!$K$34="Muy Alta",'Mapa final'!$O$34="Menor"),CONCATENATE("R",'Mapa final'!$A$34),"")</f>
        <v/>
      </c>
      <c r="W10" s="450"/>
      <c r="X10" s="450" t="str">
        <f>IF(AND('Mapa final'!$K$37="Muy Alta",'Mapa final'!$O$37="Menor"),CONCATENATE("R",'Mapa final'!$A$37),"")</f>
        <v/>
      </c>
      <c r="Y10" s="450"/>
      <c r="Z10" s="450" t="str">
        <f>IF(AND('Mapa final'!$K$40="Muy Alta",'Mapa final'!$O$40="Menor"),CONCATENATE("R",'Mapa final'!$A$40),"")</f>
        <v/>
      </c>
      <c r="AA10" s="450"/>
      <c r="AB10" s="450" t="str">
        <f>IF(AND('Mapa final'!$K$43="Muy Alta",'Mapa final'!$O$43="Menor"),CONCATENATE("R",'Mapa final'!$A$43),"")</f>
        <v/>
      </c>
      <c r="AC10" s="490"/>
      <c r="AD10" s="491" t="str">
        <f>IF(AND('Mapa final'!$K$31="Muy Alta",'Mapa final'!$O$31="Moderado"),CONCATENATE("R",'Mapa final'!$A$31),"")</f>
        <v/>
      </c>
      <c r="AE10" s="450"/>
      <c r="AF10" s="450" t="str">
        <f>IF(AND('Mapa final'!$K$34="Muy Alta",'Mapa final'!$O$34="Moderado"),CONCATENATE("R",'Mapa final'!$A$34),"")</f>
        <v/>
      </c>
      <c r="AG10" s="450"/>
      <c r="AH10" s="450" t="str">
        <f>IF(AND('Mapa final'!$K$37="Muy Alta",'Mapa final'!$O$37="Moderado"),CONCATENATE("R",'Mapa final'!$A$37),"")</f>
        <v/>
      </c>
      <c r="AI10" s="450"/>
      <c r="AJ10" s="450" t="str">
        <f>IF(AND('Mapa final'!$K$40="Muy Alta",'Mapa final'!$O$40="Moderado"),CONCATENATE("R",'Mapa final'!$A$40),"")</f>
        <v/>
      </c>
      <c r="AK10" s="450"/>
      <c r="AL10" s="450" t="str">
        <f>IF(AND('Mapa final'!$K$43="Muy Alta",'Mapa final'!$O$43="Moderado"),CONCATENATE("R",'Mapa final'!$A$43),"")</f>
        <v/>
      </c>
      <c r="AM10" s="490"/>
      <c r="AN10" s="491" t="str">
        <f>IF(AND('Mapa final'!$K$31="Muy Alta",'Mapa final'!$O$31="Mayor"),CONCATENATE("R",'Mapa final'!$A$31),"")</f>
        <v/>
      </c>
      <c r="AO10" s="450"/>
      <c r="AP10" s="450" t="str">
        <f>IF(AND('Mapa final'!$K$34="Muy Alta",'Mapa final'!$O$34="Mayor"),CONCATENATE("R",'Mapa final'!$A$34),"")</f>
        <v/>
      </c>
      <c r="AQ10" s="450"/>
      <c r="AR10" s="450" t="str">
        <f>IF(AND('Mapa final'!$K$37="Muy Alta",'Mapa final'!$O$37="Mayor"),CONCATENATE("R",'Mapa final'!$A$37),"")</f>
        <v/>
      </c>
      <c r="AS10" s="450"/>
      <c r="AT10" s="450" t="str">
        <f>IF(AND('Mapa final'!$K$40="Muy Alta",'Mapa final'!$O$40="Mayor"),CONCATENATE("R",'Mapa final'!$A$40),"")</f>
        <v/>
      </c>
      <c r="AU10" s="450"/>
      <c r="AV10" s="450" t="str">
        <f>IF(AND('Mapa final'!$K$43="Muy Alta",'Mapa final'!$O$43="Mayor"),CONCATENATE("R",'Mapa final'!$A$43),"")</f>
        <v/>
      </c>
      <c r="AW10" s="490"/>
      <c r="AX10" s="482" t="str">
        <f>IF(AND('Mapa final'!$K$31="Muy Alta",'Mapa final'!$O$31="Catastrófico"),CONCATENATE("R",'Mapa final'!$A$31),"")</f>
        <v/>
      </c>
      <c r="AY10" s="480"/>
      <c r="AZ10" s="480" t="str">
        <f>IF(AND('Mapa final'!$K$34="Muy Alta",'Mapa final'!$O$34="Catastrófico"),CONCATENATE("R",'Mapa final'!$A$34),"")</f>
        <v/>
      </c>
      <c r="BA10" s="480"/>
      <c r="BB10" s="480" t="str">
        <f>IF(AND('Mapa final'!$K$37="Muy Alta",'Mapa final'!$O$37="Catastrófico"),CONCATENATE("R",'Mapa final'!$A$37),"")</f>
        <v/>
      </c>
      <c r="BC10" s="480"/>
      <c r="BD10" s="480" t="str">
        <f>IF(AND('Mapa final'!$K$40="Muy Alta",'Mapa final'!$O$40="Catastrófico"),CONCATENATE("R",'Mapa final'!$A$40),"")</f>
        <v/>
      </c>
      <c r="BE10" s="480"/>
      <c r="BF10" s="480" t="str">
        <f>IF(AND('Mapa final'!$K$43="Muy Alta",'Mapa final'!$O$43="Catastrófico"),CONCATENATE("R",'Mapa final'!$A$43),"")</f>
        <v/>
      </c>
      <c r="BG10" s="481"/>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row>
    <row r="11" spans="1:119" ht="15" customHeight="1" x14ac:dyDescent="0.35">
      <c r="A11" s="56"/>
      <c r="B11" s="307"/>
      <c r="C11" s="307"/>
      <c r="D11" s="308"/>
      <c r="E11" s="468"/>
      <c r="F11" s="469"/>
      <c r="G11" s="469"/>
      <c r="H11" s="469"/>
      <c r="I11" s="470"/>
      <c r="J11" s="477"/>
      <c r="K11" s="450"/>
      <c r="L11" s="450"/>
      <c r="M11" s="450"/>
      <c r="N11" s="450"/>
      <c r="O11" s="450"/>
      <c r="P11" s="450"/>
      <c r="Q11" s="450"/>
      <c r="R11" s="450"/>
      <c r="S11" s="450"/>
      <c r="T11" s="491"/>
      <c r="U11" s="450"/>
      <c r="V11" s="450"/>
      <c r="W11" s="450"/>
      <c r="X11" s="450"/>
      <c r="Y11" s="450"/>
      <c r="Z11" s="450"/>
      <c r="AA11" s="450"/>
      <c r="AB11" s="450"/>
      <c r="AC11" s="490"/>
      <c r="AD11" s="491"/>
      <c r="AE11" s="450"/>
      <c r="AF11" s="450"/>
      <c r="AG11" s="450"/>
      <c r="AH11" s="450"/>
      <c r="AI11" s="450"/>
      <c r="AJ11" s="450"/>
      <c r="AK11" s="450"/>
      <c r="AL11" s="450"/>
      <c r="AM11" s="490"/>
      <c r="AN11" s="491"/>
      <c r="AO11" s="450"/>
      <c r="AP11" s="450"/>
      <c r="AQ11" s="450"/>
      <c r="AR11" s="450"/>
      <c r="AS11" s="450"/>
      <c r="AT11" s="450"/>
      <c r="AU11" s="450"/>
      <c r="AV11" s="450"/>
      <c r="AW11" s="490"/>
      <c r="AX11" s="482"/>
      <c r="AY11" s="480"/>
      <c r="AZ11" s="480"/>
      <c r="BA11" s="480"/>
      <c r="BB11" s="480"/>
      <c r="BC11" s="480"/>
      <c r="BD11" s="480"/>
      <c r="BE11" s="480"/>
      <c r="BF11" s="480"/>
      <c r="BG11" s="481"/>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row>
    <row r="12" spans="1:119" ht="15" customHeight="1" x14ac:dyDescent="0.35">
      <c r="A12" s="56"/>
      <c r="B12" s="307"/>
      <c r="C12" s="307"/>
      <c r="D12" s="308"/>
      <c r="E12" s="468"/>
      <c r="F12" s="469"/>
      <c r="G12" s="469"/>
      <c r="H12" s="469"/>
      <c r="I12" s="470"/>
      <c r="J12" s="450" t="str">
        <f>IF(AND('Mapa final'!$K$46="Muy Alta",'Mapa final'!$O$46="Leve"),CONCATENATE("R",'Mapa final'!$A$46),"")</f>
        <v/>
      </c>
      <c r="K12" s="450"/>
      <c r="L12" s="450" t="str">
        <f>IF(AND('Mapa final'!$K$49="Muy Alta",'Mapa final'!$O$49="Leve"),CONCATENATE("R",'Mapa final'!$A$49),"")</f>
        <v/>
      </c>
      <c r="M12" s="450"/>
      <c r="N12" s="450" t="str">
        <f>IF(AND('Mapa final'!$K$52="Muy Alta",'Mapa final'!$O$52="Leve"),CONCATENATE("R",'Mapa final'!$A$52),"")</f>
        <v/>
      </c>
      <c r="O12" s="450"/>
      <c r="P12" s="450" t="str">
        <f>IF(AND('Mapa final'!$K$55="Muy Alta",'Mapa final'!$O$55="Leve"),CONCATENATE("R",'Mapa final'!$A$55),"")</f>
        <v/>
      </c>
      <c r="Q12" s="450"/>
      <c r="R12" s="450" t="str">
        <f>IF(AND('Mapa final'!$K$58="Muy Alta",'Mapa final'!$O$58="Leve"),CONCATENATE("R",'Mapa final'!$A$58),"")</f>
        <v/>
      </c>
      <c r="S12" s="450"/>
      <c r="T12" s="491" t="str">
        <f>IF(AND('Mapa final'!$K$46="Muy Alta",'Mapa final'!$O$46="Menor"),CONCATENATE("R",'Mapa final'!$A$46),"")</f>
        <v/>
      </c>
      <c r="U12" s="450"/>
      <c r="V12" s="450" t="str">
        <f>IF(AND('Mapa final'!$K$49="Muy Alta",'Mapa final'!$O$49="Menor"),CONCATENATE("R",'Mapa final'!$A$49),"")</f>
        <v/>
      </c>
      <c r="W12" s="450"/>
      <c r="X12" s="450" t="str">
        <f>IF(AND('Mapa final'!$K$52="Muy Alta",'Mapa final'!$O$52="Menor"),CONCATENATE("R",'Mapa final'!$A$52),"")</f>
        <v/>
      </c>
      <c r="Y12" s="450"/>
      <c r="Z12" s="450" t="str">
        <f>IF(AND('Mapa final'!$K$55="Muy Alta",'Mapa final'!$O$55="Menor"),CONCATENATE("R",'Mapa final'!$A$55),"")</f>
        <v/>
      </c>
      <c r="AA12" s="450"/>
      <c r="AB12" s="450" t="str">
        <f>IF(AND('Mapa final'!$K$58="Muy Alta",'Mapa final'!$O$58="Menor"),CONCATENATE("R",'Mapa final'!$A$58),"")</f>
        <v/>
      </c>
      <c r="AC12" s="490"/>
      <c r="AD12" s="491" t="str">
        <f>IF(AND('Mapa final'!$K$46="Muy Alta",'Mapa final'!$O$46="Moderado"),CONCATENATE("R",'Mapa final'!$A$46),"")</f>
        <v/>
      </c>
      <c r="AE12" s="450"/>
      <c r="AF12" s="450" t="str">
        <f>IF(AND('Mapa final'!$K$49="Muy Alta",'Mapa final'!$O$49="Moderado"),CONCATENATE("R",'Mapa final'!$A$49),"")</f>
        <v/>
      </c>
      <c r="AG12" s="450"/>
      <c r="AH12" s="450" t="str">
        <f>IF(AND('Mapa final'!$K$52="Muy Alta",'Mapa final'!$O$52="Moderado"),CONCATENATE("R",'Mapa final'!$A$52),"")</f>
        <v/>
      </c>
      <c r="AI12" s="450"/>
      <c r="AJ12" s="450" t="str">
        <f>IF(AND('Mapa final'!$K$55="Muy Alta",'Mapa final'!$O$55="Moderado"),CONCATENATE("R",'Mapa final'!$A$55),"")</f>
        <v/>
      </c>
      <c r="AK12" s="450"/>
      <c r="AL12" s="450" t="str">
        <f>IF(AND('Mapa final'!$K$58="Muy Alta",'Mapa final'!$O$58="Moderado"),CONCATENATE("R",'Mapa final'!$A$58),"")</f>
        <v/>
      </c>
      <c r="AM12" s="490"/>
      <c r="AN12" s="491" t="str">
        <f>IF(AND('Mapa final'!$K$46="Muy Alta",'Mapa final'!$O$46="Mayor"),CONCATENATE("R",'Mapa final'!$A$46),"")</f>
        <v/>
      </c>
      <c r="AO12" s="450"/>
      <c r="AP12" s="450" t="str">
        <f>IF(AND('Mapa final'!$K$49="Muy Alta",'Mapa final'!$O$49="Mayor"),CONCATENATE("R",'Mapa final'!$A$49),"")</f>
        <v>R16</v>
      </c>
      <c r="AQ12" s="450"/>
      <c r="AR12" s="450" t="str">
        <f>IF(AND('Mapa final'!$K$52="Muy Alta",'Mapa final'!$O$52="Mayor"),CONCATENATE("R",'Mapa final'!$A$52),"")</f>
        <v/>
      </c>
      <c r="AS12" s="450"/>
      <c r="AT12" s="450" t="str">
        <f>IF(AND('Mapa final'!$K$55="Muy Alta",'Mapa final'!$O$55="Mayor"),CONCATENATE("R",'Mapa final'!$A$55),"")</f>
        <v/>
      </c>
      <c r="AU12" s="450"/>
      <c r="AV12" s="450" t="str">
        <f>IF(AND('Mapa final'!$K$58="Muy Alta",'Mapa final'!$O$58="Mayor"),CONCATENATE("R",'Mapa final'!$A$58),"")</f>
        <v/>
      </c>
      <c r="AW12" s="490"/>
      <c r="AX12" s="482" t="str">
        <f>IF(AND('Mapa final'!$K$46="Muy Alta",'Mapa final'!$O$46="Catastrófico"),CONCATENATE("R",'Mapa final'!$A$46),"")</f>
        <v/>
      </c>
      <c r="AY12" s="480"/>
      <c r="AZ12" s="480" t="str">
        <f>IF(AND('Mapa final'!$K$49="Muy Alta",'Mapa final'!$O$49="Catastrófico"),CONCATENATE("R",'Mapa final'!$A$49),"")</f>
        <v/>
      </c>
      <c r="BA12" s="480"/>
      <c r="BB12" s="480" t="str">
        <f>IF(AND('Mapa final'!$K$52="Muy Alta",'Mapa final'!$O$52="Catastrófico"),CONCATENATE("R",'Mapa final'!$A$52),"")</f>
        <v/>
      </c>
      <c r="BC12" s="480"/>
      <c r="BD12" s="480" t="str">
        <f>IF(AND('Mapa final'!$K$55="Muy Alta",'Mapa final'!$O$55="Catastrófico"),CONCATENATE("R",'Mapa final'!$A$55),"")</f>
        <v/>
      </c>
      <c r="BE12" s="480"/>
      <c r="BF12" s="480" t="str">
        <f>IF(AND('Mapa final'!$K$58="Muy Alta",'Mapa final'!$O$58="Catastrófico"),CONCATENATE("R",'Mapa final'!$A$58),"")</f>
        <v/>
      </c>
      <c r="BG12" s="481"/>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row>
    <row r="13" spans="1:119" ht="15" customHeight="1" thickBot="1" x14ac:dyDescent="0.4">
      <c r="A13" s="56"/>
      <c r="B13" s="307"/>
      <c r="C13" s="307"/>
      <c r="D13" s="308"/>
      <c r="E13" s="468"/>
      <c r="F13" s="469"/>
      <c r="G13" s="469"/>
      <c r="H13" s="469"/>
      <c r="I13" s="470"/>
      <c r="J13" s="450"/>
      <c r="K13" s="450"/>
      <c r="L13" s="450"/>
      <c r="M13" s="450"/>
      <c r="N13" s="450"/>
      <c r="O13" s="450"/>
      <c r="P13" s="450"/>
      <c r="Q13" s="450"/>
      <c r="R13" s="450"/>
      <c r="S13" s="450"/>
      <c r="T13" s="491"/>
      <c r="U13" s="450"/>
      <c r="V13" s="450"/>
      <c r="W13" s="450"/>
      <c r="X13" s="450"/>
      <c r="Y13" s="450"/>
      <c r="Z13" s="450"/>
      <c r="AA13" s="450"/>
      <c r="AB13" s="450"/>
      <c r="AC13" s="490"/>
      <c r="AD13" s="491"/>
      <c r="AE13" s="450"/>
      <c r="AF13" s="450"/>
      <c r="AG13" s="450"/>
      <c r="AH13" s="450"/>
      <c r="AI13" s="450"/>
      <c r="AJ13" s="450"/>
      <c r="AK13" s="450"/>
      <c r="AL13" s="450"/>
      <c r="AM13" s="490"/>
      <c r="AN13" s="491"/>
      <c r="AO13" s="450"/>
      <c r="AP13" s="450"/>
      <c r="AQ13" s="450"/>
      <c r="AR13" s="450"/>
      <c r="AS13" s="450"/>
      <c r="AT13" s="450"/>
      <c r="AU13" s="450"/>
      <c r="AV13" s="450"/>
      <c r="AW13" s="490"/>
      <c r="AX13" s="482"/>
      <c r="AY13" s="480"/>
      <c r="AZ13" s="480"/>
      <c r="BA13" s="480"/>
      <c r="BB13" s="480"/>
      <c r="BC13" s="480"/>
      <c r="BD13" s="480"/>
      <c r="BE13" s="480"/>
      <c r="BF13" s="480"/>
      <c r="BG13" s="481"/>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row>
    <row r="14" spans="1:119" ht="15" customHeight="1" x14ac:dyDescent="0.35">
      <c r="A14" s="56"/>
      <c r="B14" s="307"/>
      <c r="C14" s="307"/>
      <c r="D14" s="308"/>
      <c r="E14" s="468"/>
      <c r="F14" s="469"/>
      <c r="G14" s="469"/>
      <c r="H14" s="469"/>
      <c r="I14" s="470"/>
      <c r="J14" s="450" t="str">
        <f>IF(AND('Mapa final'!$K$61="Muy Alta",'Mapa final'!$O$61="Leve"),CONCATENATE("R",'Mapa final'!$A$61),"")</f>
        <v/>
      </c>
      <c r="K14" s="450"/>
      <c r="L14" s="450" t="str">
        <f>IF(AND('Mapa final'!$K$64="Muy Alta",'Mapa final'!$O$64="Leve"),CONCATENATE("R",'Mapa final'!$A$64),"")</f>
        <v/>
      </c>
      <c r="M14" s="450"/>
      <c r="N14" s="450" t="str">
        <f>IF(AND('Mapa final'!$K$70="Muy Alta",'Mapa final'!$O$70="Leve"),CONCATENATE("R",'Mapa final'!$A$70),"")</f>
        <v/>
      </c>
      <c r="O14" s="450"/>
      <c r="P14" s="450" t="str">
        <f>IF(AND('Mapa final'!$K$73="Muy Alta",'Mapa final'!$O$73="Leve"),CONCATENATE("R",'Mapa final'!$A$73),"")</f>
        <v/>
      </c>
      <c r="Q14" s="450"/>
      <c r="R14" s="450" t="str">
        <f>IF(AND('Mapa final'!$K$76="Muy Alta",'Mapa final'!$O$76="Leve"),CONCATENATE("R",'Mapa final'!$A$76),"")</f>
        <v/>
      </c>
      <c r="S14" s="450"/>
      <c r="T14" s="491" t="str">
        <f>IF(AND('Mapa final'!$K$61="Muy Alta",'Mapa final'!$O$61="Menor"),CONCATENATE("R",'Mapa final'!$A$61),"")</f>
        <v/>
      </c>
      <c r="U14" s="450"/>
      <c r="V14" s="450" t="str">
        <f>IF(AND('Mapa final'!$K$64="Muy Alta",'Mapa final'!$O$64="Menor"),CONCATENATE("R",'Mapa final'!$A$64),"")</f>
        <v/>
      </c>
      <c r="W14" s="450"/>
      <c r="X14" s="450" t="str">
        <f>IF(AND('Mapa final'!$K$70="Muy Alta",'Mapa final'!$O$70="Menor"),CONCATENATE("R",'Mapa final'!$A$70),"")</f>
        <v/>
      </c>
      <c r="Y14" s="450"/>
      <c r="Z14" s="450" t="str">
        <f>IF(AND('Mapa final'!$K$73="Muy Alta",'Mapa final'!$O$73="Menor"),CONCATENATE("R",'Mapa final'!$A$73),"")</f>
        <v/>
      </c>
      <c r="AA14" s="450"/>
      <c r="AB14" s="450" t="str">
        <f>IF(AND('Mapa final'!$K$76="Muy Alta",'Mapa final'!$O$76="Menor"),CONCATENATE("R",'Mapa final'!$A$76),"")</f>
        <v/>
      </c>
      <c r="AC14" s="490"/>
      <c r="AD14" s="491" t="str">
        <f>IF(AND('Mapa final'!$K$61="Muy Alta",'Mapa final'!$O$61="Moderado"),CONCATENATE("R",'Mapa final'!$A$61),"")</f>
        <v/>
      </c>
      <c r="AE14" s="450"/>
      <c r="AF14" s="450" t="str">
        <f>IF(AND('Mapa final'!$K$64="Muy Alta",'Mapa final'!$O$64="Moderado"),CONCATENATE("R",'Mapa final'!$A$64),"")</f>
        <v/>
      </c>
      <c r="AG14" s="450"/>
      <c r="AH14" s="450" t="str">
        <f>IF(AND('Mapa final'!$K$70="Muy Alta",'Mapa final'!$O$70="Moderado"),CONCATENATE("R",'Mapa final'!$A$70),"")</f>
        <v/>
      </c>
      <c r="AI14" s="450"/>
      <c r="AJ14" s="450" t="str">
        <f>IF(AND('Mapa final'!$K$73="Muy Alta",'Mapa final'!$O$73="Moderado"),CONCATENATE("R",'Mapa final'!$A$73),"")</f>
        <v/>
      </c>
      <c r="AK14" s="450"/>
      <c r="AL14" s="450" t="str">
        <f>IF(AND('Mapa final'!$K$76="Muy Alta",'Mapa final'!$O$76="Moderado"),CONCATENATE("R",'Mapa final'!$A$76),"")</f>
        <v/>
      </c>
      <c r="AM14" s="490"/>
      <c r="AN14" s="491" t="str">
        <f>IF(AND('Mapa final'!$K$61="Muy Alta",'Mapa final'!$O$61="Mayor"),CONCATENATE("R",'Mapa final'!$A$61),"")</f>
        <v/>
      </c>
      <c r="AO14" s="450"/>
      <c r="AP14" s="450" t="str">
        <f>IF(AND('Mapa final'!$K$64="Muy Alta",'Mapa final'!$O$64="Mayor"),CONCATENATE("R",'Mapa final'!$A$64),"")</f>
        <v/>
      </c>
      <c r="AQ14" s="450"/>
      <c r="AR14" s="450" t="str">
        <f>IF(AND('Mapa final'!$K$70="Muy Alta",'Mapa final'!$O$70="Mayor"),CONCATENATE("R",'Mapa final'!$A$70),"")</f>
        <v/>
      </c>
      <c r="AS14" s="450"/>
      <c r="AT14" s="450" t="str">
        <f>IF(AND('Mapa final'!$K$73="Muy Alta",'Mapa final'!$O$73="Mayor"),CONCATENATE("R",'Mapa final'!$A$73),"")</f>
        <v/>
      </c>
      <c r="AU14" s="450"/>
      <c r="AV14" s="450" t="str">
        <f>IF(AND('Mapa final'!$K$76="Muy Alta",'Mapa final'!$O$76="Mayor"),CONCATENATE("R",'Mapa final'!$A$76),"")</f>
        <v/>
      </c>
      <c r="AW14" s="490"/>
      <c r="AX14" s="482" t="str">
        <f>IF(AND('Mapa final'!$K$61="Muy Alta",'Mapa final'!$O$61="Catastrófico"),CONCATENATE("R",'Mapa final'!$A$61),"")</f>
        <v/>
      </c>
      <c r="AY14" s="480"/>
      <c r="AZ14" s="480" t="str">
        <f>IF(AND('Mapa final'!$K$64="Muy Alta",'Mapa final'!$O$64="Catastrófico"),CONCATENATE("R",'Mapa final'!$A$64),"")</f>
        <v/>
      </c>
      <c r="BA14" s="480"/>
      <c r="BB14" s="480" t="str">
        <f>IF(AND('Mapa final'!$K$70="Muy Alta",'Mapa final'!$O$70="Catastrófico"),CONCATENATE("R",'Mapa final'!$A$70),"")</f>
        <v/>
      </c>
      <c r="BC14" s="480"/>
      <c r="BD14" s="480" t="str">
        <f>IF(AND('Mapa final'!$K$73="Muy Alta",'Mapa final'!$O$73="Catastrófico"),CONCATENATE("R",'Mapa final'!$A$73),"")</f>
        <v/>
      </c>
      <c r="BE14" s="480"/>
      <c r="BF14" s="480" t="str">
        <f>IF(AND('Mapa final'!$K$76="Muy Alta",'Mapa final'!$O$76="Catastrófico"),CONCATENATE("R",'Mapa final'!$A$76),"")</f>
        <v/>
      </c>
      <c r="BG14" s="481"/>
      <c r="BH14" s="56"/>
      <c r="BI14" s="501" t="s">
        <v>73</v>
      </c>
      <c r="BJ14" s="502"/>
      <c r="BK14" s="502"/>
      <c r="BL14" s="502"/>
      <c r="BM14" s="502"/>
      <c r="BN14" s="503"/>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row>
    <row r="15" spans="1:119" ht="15" customHeight="1" x14ac:dyDescent="0.35">
      <c r="A15" s="56"/>
      <c r="B15" s="307"/>
      <c r="C15" s="307"/>
      <c r="D15" s="308"/>
      <c r="E15" s="468"/>
      <c r="F15" s="469"/>
      <c r="G15" s="469"/>
      <c r="H15" s="469"/>
      <c r="I15" s="470"/>
      <c r="J15" s="450"/>
      <c r="K15" s="450"/>
      <c r="L15" s="450"/>
      <c r="M15" s="450"/>
      <c r="N15" s="450"/>
      <c r="O15" s="450"/>
      <c r="P15" s="450"/>
      <c r="Q15" s="450"/>
      <c r="R15" s="450"/>
      <c r="S15" s="450"/>
      <c r="T15" s="491"/>
      <c r="U15" s="450"/>
      <c r="V15" s="450"/>
      <c r="W15" s="450"/>
      <c r="X15" s="450"/>
      <c r="Y15" s="450"/>
      <c r="Z15" s="450"/>
      <c r="AA15" s="450"/>
      <c r="AB15" s="450"/>
      <c r="AC15" s="490"/>
      <c r="AD15" s="491"/>
      <c r="AE15" s="450"/>
      <c r="AF15" s="450"/>
      <c r="AG15" s="450"/>
      <c r="AH15" s="450"/>
      <c r="AI15" s="450"/>
      <c r="AJ15" s="450"/>
      <c r="AK15" s="450"/>
      <c r="AL15" s="450"/>
      <c r="AM15" s="490"/>
      <c r="AN15" s="491"/>
      <c r="AO15" s="450"/>
      <c r="AP15" s="450"/>
      <c r="AQ15" s="450"/>
      <c r="AR15" s="450"/>
      <c r="AS15" s="450"/>
      <c r="AT15" s="450"/>
      <c r="AU15" s="450"/>
      <c r="AV15" s="450"/>
      <c r="AW15" s="490"/>
      <c r="AX15" s="482"/>
      <c r="AY15" s="480"/>
      <c r="AZ15" s="480"/>
      <c r="BA15" s="480"/>
      <c r="BB15" s="480"/>
      <c r="BC15" s="480"/>
      <c r="BD15" s="480"/>
      <c r="BE15" s="480"/>
      <c r="BF15" s="480"/>
      <c r="BG15" s="481"/>
      <c r="BH15" s="56"/>
      <c r="BI15" s="504"/>
      <c r="BJ15" s="505"/>
      <c r="BK15" s="505"/>
      <c r="BL15" s="505"/>
      <c r="BM15" s="505"/>
      <c r="BN15" s="50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row>
    <row r="16" spans="1:119" ht="15" customHeight="1" x14ac:dyDescent="0.35">
      <c r="A16" s="56"/>
      <c r="B16" s="307"/>
      <c r="C16" s="307"/>
      <c r="D16" s="308"/>
      <c r="E16" s="468"/>
      <c r="F16" s="469"/>
      <c r="G16" s="469"/>
      <c r="H16" s="469"/>
      <c r="I16" s="470"/>
      <c r="J16" s="450" t="str">
        <f>IF(AND('Mapa final'!$K$79="Muy Alta",'Mapa final'!$O$79="Leve"),CONCATENATE("R",'Mapa final'!$A$79),"")</f>
        <v/>
      </c>
      <c r="K16" s="450"/>
      <c r="L16" s="450" t="str">
        <f>IF(AND('Mapa final'!$K$82="Muy Alta",'Mapa final'!$O$82="Leve"),CONCATENATE("R",'Mapa final'!$A$82),"")</f>
        <v/>
      </c>
      <c r="M16" s="450"/>
      <c r="N16" s="450" t="str">
        <f>IF(AND('Mapa final'!$K$85="Muy Alta",'Mapa final'!$O$85="Leve"),CONCATENATE("R",'Mapa final'!$A$85),"")</f>
        <v/>
      </c>
      <c r="O16" s="450"/>
      <c r="P16" s="450" t="str">
        <f>IF(AND('Mapa final'!$K$88="Muy Alta",'Mapa final'!$O$88="Leve"),CONCATENATE("R",'Mapa final'!$A$88),"")</f>
        <v/>
      </c>
      <c r="Q16" s="450"/>
      <c r="R16" s="450" t="str">
        <f>IF(AND('Mapa final'!$K$91="Muy Alta",'Mapa final'!$O$91="Leve"),CONCATENATE("R",'Mapa final'!$A$91),"")</f>
        <v/>
      </c>
      <c r="S16" s="450"/>
      <c r="T16" s="491" t="str">
        <f>IF(AND('Mapa final'!$K$79="Muy Alta",'Mapa final'!$O$79="Menor"),CONCATENATE("R",'Mapa final'!$A$79),"")</f>
        <v/>
      </c>
      <c r="U16" s="450"/>
      <c r="V16" s="450" t="str">
        <f>IF(AND('Mapa final'!$K$82="Muy Alta",'Mapa final'!$O$82="Menor"),CONCATENATE("R",'Mapa final'!$A$82),"")</f>
        <v/>
      </c>
      <c r="W16" s="450"/>
      <c r="X16" s="450" t="str">
        <f>IF(AND('Mapa final'!$K$85="Muy Alta",'Mapa final'!$O$85="Menor"),CONCATENATE("R",'Mapa final'!$A$85),"")</f>
        <v/>
      </c>
      <c r="Y16" s="450"/>
      <c r="Z16" s="450" t="str">
        <f>IF(AND('Mapa final'!$K$88="Muy Alta",'Mapa final'!$O$88="Menor"),CONCATENATE("R",'Mapa final'!$A$88),"")</f>
        <v/>
      </c>
      <c r="AA16" s="450"/>
      <c r="AB16" s="450" t="str">
        <f>IF(AND('Mapa final'!$K$91="Muy Alta",'Mapa final'!$O$91="Menor"),CONCATENATE("R",'Mapa final'!$A$91),"")</f>
        <v/>
      </c>
      <c r="AC16" s="490"/>
      <c r="AD16" s="491" t="str">
        <f>IF(AND('Mapa final'!$K$79="Muy Alta",'Mapa final'!$O$79="Moderado"),CONCATENATE("R",'Mapa final'!$A$79),"")</f>
        <v/>
      </c>
      <c r="AE16" s="450"/>
      <c r="AF16" s="450" t="str">
        <f>IF(AND('Mapa final'!$K$82="Muy Alta",'Mapa final'!$O$82="Moderado"),CONCATENATE("R",'Mapa final'!$A$82),"")</f>
        <v/>
      </c>
      <c r="AG16" s="450"/>
      <c r="AH16" s="450" t="str">
        <f>IF(AND('Mapa final'!$K$85="Muy Alta",'Mapa final'!$O$85="Moderado"),CONCATENATE("R",'Mapa final'!$A$85),"")</f>
        <v/>
      </c>
      <c r="AI16" s="450"/>
      <c r="AJ16" s="450" t="str">
        <f>IF(AND('Mapa final'!$K$88="Muy Alta",'Mapa final'!$O$88="Moderado"),CONCATENATE("R",'Mapa final'!$A$88),"")</f>
        <v/>
      </c>
      <c r="AK16" s="450"/>
      <c r="AL16" s="450" t="str">
        <f>IF(AND('Mapa final'!$K$91="Muy Alta",'Mapa final'!$O$91="Moderado"),CONCATENATE("R",'Mapa final'!$A$91),"")</f>
        <v/>
      </c>
      <c r="AM16" s="490"/>
      <c r="AN16" s="491" t="str">
        <f>IF(AND('Mapa final'!$K$79="Muy Alta",'Mapa final'!$O$79="Mayor"),CONCATENATE("R",'Mapa final'!$A$79),"")</f>
        <v/>
      </c>
      <c r="AO16" s="450"/>
      <c r="AP16" s="450" t="str">
        <f>IF(AND('Mapa final'!$K$82="Muy Alta",'Mapa final'!$O$82="Mayor"),CONCATENATE("R",'Mapa final'!$A$82),"")</f>
        <v/>
      </c>
      <c r="AQ16" s="450"/>
      <c r="AR16" s="450" t="str">
        <f>IF(AND('Mapa final'!$K$85="Muy Alta",'Mapa final'!$O$85="Mayor"),CONCATENATE("R",'Mapa final'!$A$85),"")</f>
        <v/>
      </c>
      <c r="AS16" s="450"/>
      <c r="AT16" s="450" t="str">
        <f>IF(AND('Mapa final'!$K$88="Muy Alta",'Mapa final'!$O$88="Mayor"),CONCATENATE("R",'Mapa final'!$A$88),"")</f>
        <v/>
      </c>
      <c r="AU16" s="450"/>
      <c r="AV16" s="450" t="str">
        <f>IF(AND('Mapa final'!$K$91="Muy Alta",'Mapa final'!$O$91="Mayor"),CONCATENATE("R",'Mapa final'!$A$91),"")</f>
        <v/>
      </c>
      <c r="AW16" s="490"/>
      <c r="AX16" s="482" t="str">
        <f>IF(AND('Mapa final'!$K$79="Muy Alta",'Mapa final'!$O$79="Catastrófico"),CONCATENATE("R",'Mapa final'!$A$79),"")</f>
        <v/>
      </c>
      <c r="AY16" s="480"/>
      <c r="AZ16" s="480" t="str">
        <f>IF(AND('Mapa final'!$K$82="Muy Alta",'Mapa final'!$O$82="Catastrófico"),CONCATENATE("R",'Mapa final'!$A$82),"")</f>
        <v/>
      </c>
      <c r="BA16" s="480"/>
      <c r="BB16" s="480" t="str">
        <f>IF(AND('Mapa final'!$K$85="Muy Alta",'Mapa final'!$O$85="Catastrófico"),CONCATENATE("R",'Mapa final'!$A$85),"")</f>
        <v/>
      </c>
      <c r="BC16" s="480"/>
      <c r="BD16" s="480" t="str">
        <f>IF(AND('Mapa final'!$K$88="Muy Alta",'Mapa final'!$O$88="Catastrófico"),CONCATENATE("R",'Mapa final'!$A$88),"")</f>
        <v/>
      </c>
      <c r="BE16" s="480"/>
      <c r="BF16" s="480" t="str">
        <f>IF(AND('Mapa final'!$K$91="Muy Alta",'Mapa final'!$O$91="Catastrófico"),CONCATENATE("R",'Mapa final'!$A$91),"")</f>
        <v/>
      </c>
      <c r="BG16" s="481"/>
      <c r="BH16" s="56"/>
      <c r="BI16" s="504"/>
      <c r="BJ16" s="505"/>
      <c r="BK16" s="505"/>
      <c r="BL16" s="505"/>
      <c r="BM16" s="505"/>
      <c r="BN16" s="50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row>
    <row r="17" spans="1:100" ht="15" customHeight="1" x14ac:dyDescent="0.35">
      <c r="A17" s="56"/>
      <c r="B17" s="307"/>
      <c r="C17" s="307"/>
      <c r="D17" s="308"/>
      <c r="E17" s="468"/>
      <c r="F17" s="469"/>
      <c r="G17" s="469"/>
      <c r="H17" s="469"/>
      <c r="I17" s="470"/>
      <c r="J17" s="450"/>
      <c r="K17" s="450"/>
      <c r="L17" s="450"/>
      <c r="M17" s="450"/>
      <c r="N17" s="450"/>
      <c r="O17" s="450"/>
      <c r="P17" s="450"/>
      <c r="Q17" s="450"/>
      <c r="R17" s="450"/>
      <c r="S17" s="450"/>
      <c r="T17" s="491"/>
      <c r="U17" s="450"/>
      <c r="V17" s="450"/>
      <c r="W17" s="450"/>
      <c r="X17" s="450"/>
      <c r="Y17" s="450"/>
      <c r="Z17" s="450"/>
      <c r="AA17" s="450"/>
      <c r="AB17" s="450"/>
      <c r="AC17" s="490"/>
      <c r="AD17" s="491"/>
      <c r="AE17" s="450"/>
      <c r="AF17" s="450"/>
      <c r="AG17" s="450"/>
      <c r="AH17" s="450"/>
      <c r="AI17" s="450"/>
      <c r="AJ17" s="450"/>
      <c r="AK17" s="450"/>
      <c r="AL17" s="450"/>
      <c r="AM17" s="490"/>
      <c r="AN17" s="491"/>
      <c r="AO17" s="450"/>
      <c r="AP17" s="450"/>
      <c r="AQ17" s="450"/>
      <c r="AR17" s="450"/>
      <c r="AS17" s="450"/>
      <c r="AT17" s="450"/>
      <c r="AU17" s="450"/>
      <c r="AV17" s="450"/>
      <c r="AW17" s="490"/>
      <c r="AX17" s="482"/>
      <c r="AY17" s="480"/>
      <c r="AZ17" s="480"/>
      <c r="BA17" s="480"/>
      <c r="BB17" s="480"/>
      <c r="BC17" s="480"/>
      <c r="BD17" s="480"/>
      <c r="BE17" s="480"/>
      <c r="BF17" s="480"/>
      <c r="BG17" s="481"/>
      <c r="BH17" s="56"/>
      <c r="BI17" s="504"/>
      <c r="BJ17" s="505"/>
      <c r="BK17" s="505"/>
      <c r="BL17" s="505"/>
      <c r="BM17" s="505"/>
      <c r="BN17" s="50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row>
    <row r="18" spans="1:100" ht="15" customHeight="1" x14ac:dyDescent="0.35">
      <c r="A18" s="56"/>
      <c r="B18" s="307"/>
      <c r="C18" s="307"/>
      <c r="D18" s="308"/>
      <c r="E18" s="468"/>
      <c r="F18" s="469"/>
      <c r="G18" s="469"/>
      <c r="H18" s="469"/>
      <c r="I18" s="470"/>
      <c r="J18" s="450" t="str">
        <f>IF(AND('Mapa final'!$K$94="Muy Alta",'Mapa final'!$O$94="Leve"),CONCATENATE("R",'Mapa final'!$A$94),"")</f>
        <v/>
      </c>
      <c r="K18" s="450"/>
      <c r="L18" s="450" t="e">
        <f>IF(AND('Mapa final'!#REF!="Muy Alta",'Mapa final'!#REF!="Leve"),CONCATENATE("R",'Mapa final'!#REF!),"")</f>
        <v>#REF!</v>
      </c>
      <c r="M18" s="450"/>
      <c r="N18" s="450" t="str">
        <f>IF(AND('Mapa final'!$K$97="Muy Alta",'Mapa final'!$O$97="Leve"),CONCATENATE("R",'Mapa final'!$A$97),"")</f>
        <v/>
      </c>
      <c r="O18" s="450"/>
      <c r="P18" s="450" t="str">
        <f>IF(AND('Mapa final'!$K$100="Muy Alta",'Mapa final'!$O$100="Leve"),CONCATENATE("R",'Mapa final'!$A$100),"")</f>
        <v/>
      </c>
      <c r="Q18" s="450"/>
      <c r="R18" s="450" t="str">
        <f>IF(AND('Mapa final'!$K$103="Muy Alta",'Mapa final'!$O$103="Leve"),CONCATENATE("R",'Mapa final'!$A$103),"")</f>
        <v/>
      </c>
      <c r="S18" s="450"/>
      <c r="T18" s="491" t="str">
        <f>IF(AND('Mapa final'!$K$94="Muy Alta",'Mapa final'!$O$94="Menor"),CONCATENATE("R",'Mapa final'!$A$94),"")</f>
        <v/>
      </c>
      <c r="U18" s="450"/>
      <c r="V18" s="450" t="e">
        <f>IF(AND('Mapa final'!#REF!="Muy Alta",'Mapa final'!#REF!="Menor"),CONCATENATE("R",'Mapa final'!#REF!),"")</f>
        <v>#REF!</v>
      </c>
      <c r="W18" s="450"/>
      <c r="X18" s="450" t="str">
        <f>IF(AND('Mapa final'!$K$97="Muy Alta",'Mapa final'!$O$97="Menor"),CONCATENATE("R",'Mapa final'!$A$97),"")</f>
        <v/>
      </c>
      <c r="Y18" s="450"/>
      <c r="Z18" s="450" t="str">
        <f>IF(AND('Mapa final'!$K$100="Muy Alta",'Mapa final'!$O$100="Menor"),CONCATENATE("R",'Mapa final'!$A$100),"")</f>
        <v/>
      </c>
      <c r="AA18" s="450"/>
      <c r="AB18" s="450" t="str">
        <f>IF(AND('Mapa final'!$K$103="Muy Alta",'Mapa final'!$O$103="Menor"),CONCATENATE("R",'Mapa final'!$A$103),"")</f>
        <v/>
      </c>
      <c r="AC18" s="490"/>
      <c r="AD18" s="491" t="str">
        <f>IF(AND('Mapa final'!$K$94="Muy Alta",'Mapa final'!$O$94="Moderado"),CONCATENATE("R",'Mapa final'!$A$94),"")</f>
        <v/>
      </c>
      <c r="AE18" s="450"/>
      <c r="AF18" s="450" t="e">
        <f>IF(AND('Mapa final'!#REF!="Muy Alta",'Mapa final'!#REF!="Moderado"),CONCATENATE("R",'Mapa final'!#REF!),"")</f>
        <v>#REF!</v>
      </c>
      <c r="AG18" s="450"/>
      <c r="AH18" s="450" t="str">
        <f>IF(AND('Mapa final'!$K$97="Muy Alta",'Mapa final'!$O$97="Moderado"),CONCATENATE("R",'Mapa final'!$A$97),"")</f>
        <v/>
      </c>
      <c r="AI18" s="450"/>
      <c r="AJ18" s="450" t="str">
        <f>IF(AND('Mapa final'!$K$100="Muy Alta",'Mapa final'!$O$100="Moderado"),CONCATENATE("R",'Mapa final'!$A$100),"")</f>
        <v/>
      </c>
      <c r="AK18" s="450"/>
      <c r="AL18" s="450" t="str">
        <f>IF(AND('Mapa final'!$K$103="Muy Alta",'Mapa final'!$O$103="Moderado"),CONCATENATE("R",'Mapa final'!$A$103),"")</f>
        <v/>
      </c>
      <c r="AM18" s="490"/>
      <c r="AN18" s="491" t="str">
        <f>IF(AND('Mapa final'!$K$94="Muy Alta",'Mapa final'!$O$94="Mayor"),CONCATENATE("R",'Mapa final'!$A$94),"")</f>
        <v/>
      </c>
      <c r="AO18" s="450"/>
      <c r="AP18" s="450" t="e">
        <f>IF(AND('Mapa final'!#REF!="Muy Alta",'Mapa final'!#REF!="Mayor"),CONCATENATE("R",'Mapa final'!#REF!),"")</f>
        <v>#REF!</v>
      </c>
      <c r="AQ18" s="450"/>
      <c r="AR18" s="450" t="str">
        <f>IF(AND('Mapa final'!$K$97="Muy Alta",'Mapa final'!$O$97="Mayor"),CONCATENATE("R",'Mapa final'!$A$97),"")</f>
        <v/>
      </c>
      <c r="AS18" s="450"/>
      <c r="AT18" s="450" t="str">
        <f>IF(AND('Mapa final'!$K$100="Muy Alta",'Mapa final'!$O$100="Mayor"),CONCATENATE("R",'Mapa final'!$A$100),"")</f>
        <v/>
      </c>
      <c r="AU18" s="450"/>
      <c r="AV18" s="450" t="str">
        <f>IF(AND('Mapa final'!$K$103="Muy Alta",'Mapa final'!$O$103="Mayor"),CONCATENATE("R",'Mapa final'!$A$103),"")</f>
        <v/>
      </c>
      <c r="AW18" s="490"/>
      <c r="AX18" s="482" t="str">
        <f>IF(AND('Mapa final'!$K$94="Muy Alta",'Mapa final'!$O$94="Catastrófico"),CONCATENATE("R",'Mapa final'!$A$94),"")</f>
        <v/>
      </c>
      <c r="AY18" s="480"/>
      <c r="AZ18" s="480" t="e">
        <f>IF(AND('Mapa final'!#REF!="Muy Alta",'Mapa final'!#REF!="Catastrófico"),CONCATENATE("R",'Mapa final'!#REF!),"")</f>
        <v>#REF!</v>
      </c>
      <c r="BA18" s="480"/>
      <c r="BB18" s="480" t="str">
        <f>IF(AND('Mapa final'!$K$97="Muy Alta",'Mapa final'!$O$97="Catastrófico"),CONCATENATE("R",'Mapa final'!$A$97),"")</f>
        <v/>
      </c>
      <c r="BC18" s="480"/>
      <c r="BD18" s="480" t="str">
        <f>IF(AND('Mapa final'!$K$100="Muy Alta",'Mapa final'!$O$100="Catastrófico"),CONCATENATE("R",'Mapa final'!$A$100),"")</f>
        <v/>
      </c>
      <c r="BE18" s="480"/>
      <c r="BF18" s="480" t="str">
        <f>IF(AND('Mapa final'!$K$103="Muy Alta",'Mapa final'!$O$103="Catastrófico"),CONCATENATE("R",'Mapa final'!$A$103),"")</f>
        <v/>
      </c>
      <c r="BG18" s="481"/>
      <c r="BH18" s="56"/>
      <c r="BI18" s="504"/>
      <c r="BJ18" s="505"/>
      <c r="BK18" s="505"/>
      <c r="BL18" s="505"/>
      <c r="BM18" s="505"/>
      <c r="BN18" s="50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row>
    <row r="19" spans="1:100" ht="15" customHeight="1" x14ac:dyDescent="0.35">
      <c r="A19" s="56"/>
      <c r="B19" s="307"/>
      <c r="C19" s="307"/>
      <c r="D19" s="308"/>
      <c r="E19" s="468"/>
      <c r="F19" s="469"/>
      <c r="G19" s="469"/>
      <c r="H19" s="469"/>
      <c r="I19" s="470"/>
      <c r="J19" s="450"/>
      <c r="K19" s="450"/>
      <c r="L19" s="450"/>
      <c r="M19" s="450"/>
      <c r="N19" s="450"/>
      <c r="O19" s="450"/>
      <c r="P19" s="450"/>
      <c r="Q19" s="450"/>
      <c r="R19" s="450"/>
      <c r="S19" s="450"/>
      <c r="T19" s="491"/>
      <c r="U19" s="450"/>
      <c r="V19" s="450"/>
      <c r="W19" s="450"/>
      <c r="X19" s="450"/>
      <c r="Y19" s="450"/>
      <c r="Z19" s="450"/>
      <c r="AA19" s="450"/>
      <c r="AB19" s="450"/>
      <c r="AC19" s="490"/>
      <c r="AD19" s="491"/>
      <c r="AE19" s="450"/>
      <c r="AF19" s="450"/>
      <c r="AG19" s="450"/>
      <c r="AH19" s="450"/>
      <c r="AI19" s="450"/>
      <c r="AJ19" s="450"/>
      <c r="AK19" s="450"/>
      <c r="AL19" s="450"/>
      <c r="AM19" s="490"/>
      <c r="AN19" s="491"/>
      <c r="AO19" s="450"/>
      <c r="AP19" s="450"/>
      <c r="AQ19" s="450"/>
      <c r="AR19" s="450"/>
      <c r="AS19" s="450"/>
      <c r="AT19" s="450"/>
      <c r="AU19" s="450"/>
      <c r="AV19" s="450"/>
      <c r="AW19" s="490"/>
      <c r="AX19" s="482"/>
      <c r="AY19" s="480"/>
      <c r="AZ19" s="480"/>
      <c r="BA19" s="480"/>
      <c r="BB19" s="480"/>
      <c r="BC19" s="480"/>
      <c r="BD19" s="480"/>
      <c r="BE19" s="480"/>
      <c r="BF19" s="480"/>
      <c r="BG19" s="481"/>
      <c r="BH19" s="56"/>
      <c r="BI19" s="504"/>
      <c r="BJ19" s="505"/>
      <c r="BK19" s="505"/>
      <c r="BL19" s="505"/>
      <c r="BM19" s="505"/>
      <c r="BN19" s="50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row>
    <row r="20" spans="1:100" ht="15" customHeight="1" x14ac:dyDescent="0.35">
      <c r="A20" s="56"/>
      <c r="B20" s="307"/>
      <c r="C20" s="307"/>
      <c r="D20" s="308"/>
      <c r="E20" s="468"/>
      <c r="F20" s="469"/>
      <c r="G20" s="469"/>
      <c r="H20" s="469"/>
      <c r="I20" s="470"/>
      <c r="J20" s="450" t="str">
        <f>IF(AND('Mapa final'!$K$106="Muy Alta",'Mapa final'!$O$106="Leve"),CONCATENATE("R",'Mapa final'!$A$106),"")</f>
        <v/>
      </c>
      <c r="K20" s="450"/>
      <c r="L20" s="450" t="str">
        <f>IF(AND('Mapa final'!$K$109="Muy Alta",'Mapa final'!$O$109="Leve"),CONCATENATE("R",'Mapa final'!$A$109),"")</f>
        <v/>
      </c>
      <c r="M20" s="450"/>
      <c r="N20" s="450" t="str">
        <f>IF(AND('Mapa final'!$K$112="Muy Alta",'Mapa final'!$O$112="Leve"),CONCATENATE("R",'Mapa final'!$A$112),"")</f>
        <v/>
      </c>
      <c r="O20" s="450"/>
      <c r="P20" s="450" t="str">
        <f>IF(AND('Mapa final'!$K$115="Muy Alta",'Mapa final'!$O$115="Leve"),CONCATENATE("R",'Mapa final'!$A$115),"")</f>
        <v/>
      </c>
      <c r="Q20" s="450"/>
      <c r="R20" s="450" t="str">
        <f>IF(AND('Mapa final'!$K$118="Muy Alta",'Mapa final'!$O$118="Leve"),CONCATENATE("R",'Mapa final'!$A$118),"")</f>
        <v/>
      </c>
      <c r="S20" s="450"/>
      <c r="T20" s="491" t="str">
        <f>IF(AND('Mapa final'!$K$106="Muy Alta",'Mapa final'!$O$106="Menor"),CONCATENATE("R",'Mapa final'!$A$106),"")</f>
        <v/>
      </c>
      <c r="U20" s="450"/>
      <c r="V20" s="450" t="str">
        <f>IF(AND('Mapa final'!$K$109="Muy Alta",'Mapa final'!$O$109="Menor"),CONCATENATE("R",'Mapa final'!$A$109),"")</f>
        <v/>
      </c>
      <c r="W20" s="450"/>
      <c r="X20" s="450" t="str">
        <f>IF(AND('Mapa final'!$K$112="Muy Alta",'Mapa final'!$O$112="Menor"),CONCATENATE("R",'Mapa final'!$A$112),"")</f>
        <v/>
      </c>
      <c r="Y20" s="450"/>
      <c r="Z20" s="450" t="str">
        <f>IF(AND('Mapa final'!$K$115="Muy Alta",'Mapa final'!$O$115="Menor"),CONCATENATE("R",'Mapa final'!$A$115),"")</f>
        <v/>
      </c>
      <c r="AA20" s="450"/>
      <c r="AB20" s="450" t="str">
        <f>IF(AND('Mapa final'!$K$118="Muy Alta",'Mapa final'!$O$118="Menor"),CONCATENATE("R",'Mapa final'!$A$118),"")</f>
        <v/>
      </c>
      <c r="AC20" s="490"/>
      <c r="AD20" s="491" t="str">
        <f>IF(AND('Mapa final'!$K$106="Muy Alta",'Mapa final'!$O$106="Moderado"),CONCATENATE("R",'Mapa final'!$A$106),"")</f>
        <v/>
      </c>
      <c r="AE20" s="450"/>
      <c r="AF20" s="450" t="str">
        <f>IF(AND('Mapa final'!$K$109="Muy Alta",'Mapa final'!$O$109="Moderado"),CONCATENATE("R",'Mapa final'!$A$109),"")</f>
        <v/>
      </c>
      <c r="AG20" s="450"/>
      <c r="AH20" s="450" t="str">
        <f>IF(AND('Mapa final'!$K$112="Muy Alta",'Mapa final'!$O$112="Moderado"),CONCATENATE("R",'Mapa final'!$A$112),"")</f>
        <v/>
      </c>
      <c r="AI20" s="450"/>
      <c r="AJ20" s="450" t="str">
        <f>IF(AND('Mapa final'!$K$115="Muy Alta",'Mapa final'!$O$115="Moderado"),CONCATENATE("R",'Mapa final'!$A$115),"")</f>
        <v/>
      </c>
      <c r="AK20" s="450"/>
      <c r="AL20" s="450" t="str">
        <f>IF(AND('Mapa final'!$K$118="Muy Alta",'Mapa final'!$O$118="Moderado"),CONCATENATE("R",'Mapa final'!$A$118),"")</f>
        <v/>
      </c>
      <c r="AM20" s="490"/>
      <c r="AN20" s="491" t="str">
        <f>IF(AND('Mapa final'!$K$106="Muy Alta",'Mapa final'!$O$106="Mayor"),CONCATENATE("R",'Mapa final'!$A$106),"")</f>
        <v/>
      </c>
      <c r="AO20" s="450"/>
      <c r="AP20" s="450" t="str">
        <f>IF(AND('Mapa final'!$K$109="Muy Alta",'Mapa final'!$O$109="Mayor"),CONCATENATE("R",'Mapa final'!$A$109),"")</f>
        <v/>
      </c>
      <c r="AQ20" s="450"/>
      <c r="AR20" s="450" t="str">
        <f>IF(AND('Mapa final'!$K$112="Muy Alta",'Mapa final'!$O$112="Mayor"),CONCATENATE("R",'Mapa final'!$A$112),"")</f>
        <v/>
      </c>
      <c r="AS20" s="450"/>
      <c r="AT20" s="450" t="str">
        <f>IF(AND('Mapa final'!$K$115="Muy Alta",'Mapa final'!$O$115="Mayor"),CONCATENATE("R",'Mapa final'!$A$115),"")</f>
        <v/>
      </c>
      <c r="AU20" s="450"/>
      <c r="AV20" s="450" t="str">
        <f>IF(AND('Mapa final'!$K$118="Muy Alta",'Mapa final'!$O$118="Mayor"),CONCATENATE("R",'Mapa final'!$A$118),"")</f>
        <v/>
      </c>
      <c r="AW20" s="490"/>
      <c r="AX20" s="482" t="str">
        <f>IF(AND('Mapa final'!$K$106="Muy Alta",'Mapa final'!$O$106="Catastrófico"),CONCATENATE("R",'Mapa final'!$A$106),"")</f>
        <v/>
      </c>
      <c r="AY20" s="480"/>
      <c r="AZ20" s="480" t="str">
        <f>IF(AND('Mapa final'!$K$109="Muy Alta",'Mapa final'!$O$109="Catastrófico"),CONCATENATE("R",'Mapa final'!$A$109),"")</f>
        <v/>
      </c>
      <c r="BA20" s="480"/>
      <c r="BB20" s="480" t="str">
        <f>IF(AND('Mapa final'!$K$112="Muy Alta",'Mapa final'!$O$112="Catastrófico"),CONCATENATE("R",'Mapa final'!$A$112),"")</f>
        <v/>
      </c>
      <c r="BC20" s="480"/>
      <c r="BD20" s="480" t="str">
        <f>IF(AND('Mapa final'!$K$115="Muy Alta",'Mapa final'!$O$115="Catastrófico"),CONCATENATE("R",'Mapa final'!$A$115),"")</f>
        <v/>
      </c>
      <c r="BE20" s="480"/>
      <c r="BF20" s="480" t="str">
        <f>IF(AND('Mapa final'!$K$118="Muy Alta",'Mapa final'!$O$118="Catastrófico"),CONCATENATE("R",'Mapa final'!$A$118),"")</f>
        <v/>
      </c>
      <c r="BG20" s="481"/>
      <c r="BH20" s="56"/>
      <c r="BI20" s="504"/>
      <c r="BJ20" s="505"/>
      <c r="BK20" s="505"/>
      <c r="BL20" s="505"/>
      <c r="BM20" s="505"/>
      <c r="BN20" s="50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row>
    <row r="21" spans="1:100" ht="15" customHeight="1" x14ac:dyDescent="0.35">
      <c r="A21" s="56"/>
      <c r="B21" s="307"/>
      <c r="C21" s="307"/>
      <c r="D21" s="308"/>
      <c r="E21" s="468"/>
      <c r="F21" s="469"/>
      <c r="G21" s="469"/>
      <c r="H21" s="469"/>
      <c r="I21" s="470"/>
      <c r="J21" s="450"/>
      <c r="K21" s="450"/>
      <c r="L21" s="450"/>
      <c r="M21" s="450"/>
      <c r="N21" s="450"/>
      <c r="O21" s="450"/>
      <c r="P21" s="450"/>
      <c r="Q21" s="450"/>
      <c r="R21" s="450"/>
      <c r="S21" s="450"/>
      <c r="T21" s="491"/>
      <c r="U21" s="450"/>
      <c r="V21" s="450"/>
      <c r="W21" s="450"/>
      <c r="X21" s="450"/>
      <c r="Y21" s="450"/>
      <c r="Z21" s="450"/>
      <c r="AA21" s="450"/>
      <c r="AB21" s="450"/>
      <c r="AC21" s="490"/>
      <c r="AD21" s="491"/>
      <c r="AE21" s="450"/>
      <c r="AF21" s="450"/>
      <c r="AG21" s="450"/>
      <c r="AH21" s="450"/>
      <c r="AI21" s="450"/>
      <c r="AJ21" s="450"/>
      <c r="AK21" s="450"/>
      <c r="AL21" s="450"/>
      <c r="AM21" s="490"/>
      <c r="AN21" s="491"/>
      <c r="AO21" s="450"/>
      <c r="AP21" s="450"/>
      <c r="AQ21" s="450"/>
      <c r="AR21" s="450"/>
      <c r="AS21" s="450"/>
      <c r="AT21" s="450"/>
      <c r="AU21" s="450"/>
      <c r="AV21" s="450"/>
      <c r="AW21" s="490"/>
      <c r="AX21" s="482"/>
      <c r="AY21" s="480"/>
      <c r="AZ21" s="480"/>
      <c r="BA21" s="480"/>
      <c r="BB21" s="480"/>
      <c r="BC21" s="480"/>
      <c r="BD21" s="480"/>
      <c r="BE21" s="480"/>
      <c r="BF21" s="480"/>
      <c r="BG21" s="481"/>
      <c r="BH21" s="56"/>
      <c r="BI21" s="504"/>
      <c r="BJ21" s="505"/>
      <c r="BK21" s="505"/>
      <c r="BL21" s="505"/>
      <c r="BM21" s="505"/>
      <c r="BN21" s="50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row>
    <row r="22" spans="1:100" ht="15" customHeight="1" x14ac:dyDescent="0.35">
      <c r="A22" s="56"/>
      <c r="B22" s="307"/>
      <c r="C22" s="307"/>
      <c r="D22" s="308"/>
      <c r="E22" s="468"/>
      <c r="F22" s="469"/>
      <c r="G22" s="469"/>
      <c r="H22" s="469"/>
      <c r="I22" s="470"/>
      <c r="J22" s="450" t="str">
        <f>IF(AND('Mapa final'!$K$121="Muy Alta",'Mapa final'!$O$121="Leve"),CONCATENATE("R",'Mapa final'!$A$121),"")</f>
        <v/>
      </c>
      <c r="K22" s="450"/>
      <c r="L22" s="450" t="str">
        <f>IF(AND('Mapa final'!$K$124="Muy Alta",'Mapa final'!$O$124="Leve"),CONCATENATE("R",'Mapa final'!$A$124),"")</f>
        <v/>
      </c>
      <c r="M22" s="450"/>
      <c r="N22" s="450" t="str">
        <f>IF(AND('Mapa final'!$K$127="Muy Alta",'Mapa final'!$O$127="Leve"),CONCATENATE("R",'Mapa final'!$A$127),"")</f>
        <v/>
      </c>
      <c r="O22" s="450"/>
      <c r="P22" s="450" t="str">
        <f>IF(AND('Mapa final'!$K$130="Muy Alta",'Mapa final'!$O$130="Leve"),CONCATENATE("R",'Mapa final'!$A$130),"")</f>
        <v/>
      </c>
      <c r="Q22" s="450"/>
      <c r="R22" s="450" t="str">
        <f>IF(AND('Mapa final'!$K$133="Muy Alta",'Mapa final'!$O$133="Leve"),CONCATENATE("R",'Mapa final'!$A$133),"")</f>
        <v/>
      </c>
      <c r="S22" s="450"/>
      <c r="T22" s="491" t="str">
        <f>IF(AND('Mapa final'!$K$121="Muy Alta",'Mapa final'!$O$121="Menor"),CONCATENATE("R",'Mapa final'!$A$121),"")</f>
        <v/>
      </c>
      <c r="U22" s="450"/>
      <c r="V22" s="450" t="str">
        <f>IF(AND('Mapa final'!$K$124="Muy Alta",'Mapa final'!$O$124="Menor"),CONCATENATE("R",'Mapa final'!$A$124),"")</f>
        <v/>
      </c>
      <c r="W22" s="450"/>
      <c r="X22" s="450" t="str">
        <f>IF(AND('Mapa final'!$K$127="Muy Alta",'Mapa final'!$O$127="Menor"),CONCATENATE("R",'Mapa final'!$A$127),"")</f>
        <v/>
      </c>
      <c r="Y22" s="450"/>
      <c r="Z22" s="450" t="str">
        <f>IF(AND('Mapa final'!$K$130="Muy Alta",'Mapa final'!$O$130="Menor"),CONCATENATE("R",'Mapa final'!$A$130),"")</f>
        <v/>
      </c>
      <c r="AA22" s="450"/>
      <c r="AB22" s="450" t="str">
        <f>IF(AND('Mapa final'!$K$133="Muy Alta",'Mapa final'!$O$133="Menor"),CONCATENATE("R",'Mapa final'!$A$133),"")</f>
        <v/>
      </c>
      <c r="AC22" s="490"/>
      <c r="AD22" s="491" t="str">
        <f>IF(AND('Mapa final'!$K$121="Muy Alta",'Mapa final'!$O$121="Moderado"),CONCATENATE("R",'Mapa final'!$A$121),"")</f>
        <v/>
      </c>
      <c r="AE22" s="450"/>
      <c r="AF22" s="450" t="str">
        <f>IF(AND('Mapa final'!$K$124="Muy Alta",'Mapa final'!$O$124="Moderado"),CONCATENATE("R",'Mapa final'!$A$124),"")</f>
        <v/>
      </c>
      <c r="AG22" s="450"/>
      <c r="AH22" s="450" t="str">
        <f>IF(AND('Mapa final'!$K$127="Muy Alta",'Mapa final'!$O$127="Moderado"),CONCATENATE("R",'Mapa final'!$A$127),"")</f>
        <v/>
      </c>
      <c r="AI22" s="450"/>
      <c r="AJ22" s="450" t="str">
        <f>IF(AND('Mapa final'!$K$130="Muy Alta",'Mapa final'!$O$130="Moderado"),CONCATENATE("R",'Mapa final'!$A$130),"")</f>
        <v/>
      </c>
      <c r="AK22" s="450"/>
      <c r="AL22" s="450" t="str">
        <f>IF(AND('Mapa final'!$K$133="Muy Alta",'Mapa final'!$O$133="Moderado"),CONCATENATE("R",'Mapa final'!$A$133),"")</f>
        <v/>
      </c>
      <c r="AM22" s="490"/>
      <c r="AN22" s="491" t="str">
        <f>IF(AND('Mapa final'!$K$121="Muy Alta",'Mapa final'!$O$121="Mayor"),CONCATENATE("R",'Mapa final'!$A$121),"")</f>
        <v/>
      </c>
      <c r="AO22" s="450"/>
      <c r="AP22" s="450" t="str">
        <f>IF(AND('Mapa final'!$K$124="Muy Alta",'Mapa final'!$O$124="Mayor"),CONCATENATE("R",'Mapa final'!$A$124),"")</f>
        <v/>
      </c>
      <c r="AQ22" s="450"/>
      <c r="AR22" s="450" t="str">
        <f>IF(AND('Mapa final'!$K$127="Muy Alta",'Mapa final'!$O$127="Mayor"),CONCATENATE("R",'Mapa final'!$A$127),"")</f>
        <v/>
      </c>
      <c r="AS22" s="450"/>
      <c r="AT22" s="450" t="str">
        <f>IF(AND('Mapa final'!$K$130="Muy Alta",'Mapa final'!$O$130="Mayor"),CONCATENATE("R",'Mapa final'!$A$130),"")</f>
        <v/>
      </c>
      <c r="AU22" s="450"/>
      <c r="AV22" s="450" t="str">
        <f>IF(AND('Mapa final'!$K$133="Muy Alta",'Mapa final'!$O$133="Mayor"),CONCATENATE("R",'Mapa final'!$A$133),"")</f>
        <v/>
      </c>
      <c r="AW22" s="490"/>
      <c r="AX22" s="482" t="str">
        <f>IF(AND('Mapa final'!$K$121="Muy Alta",'Mapa final'!$O$121="Catastrófico"),CONCATENATE("R",'Mapa final'!$A$121),"")</f>
        <v/>
      </c>
      <c r="AY22" s="480"/>
      <c r="AZ22" s="480" t="str">
        <f>IF(AND('Mapa final'!$K$124="Muy Alta",'Mapa final'!$O$124="Catastrófico"),CONCATENATE("R",'Mapa final'!$A$124),"")</f>
        <v/>
      </c>
      <c r="BA22" s="480"/>
      <c r="BB22" s="480" t="str">
        <f>IF(AND('Mapa final'!$K$127="Muy Alta",'Mapa final'!$O$127="Catastrófico"),CONCATENATE("R",'Mapa final'!$A$127),"")</f>
        <v/>
      </c>
      <c r="BC22" s="480"/>
      <c r="BD22" s="480" t="str">
        <f>IF(AND('Mapa final'!$K$130="Muy Alta",'Mapa final'!$O$130="Catastrófico"),CONCATENATE("R",'Mapa final'!$A$130),"")</f>
        <v/>
      </c>
      <c r="BE22" s="480"/>
      <c r="BF22" s="480" t="str">
        <f>IF(AND('Mapa final'!$K$133="Muy Alta",'Mapa final'!$O$133="Catastrófico"),CONCATENATE("R",'Mapa final'!$A$133),"")</f>
        <v/>
      </c>
      <c r="BG22" s="481"/>
      <c r="BH22" s="56"/>
      <c r="BI22" s="504"/>
      <c r="BJ22" s="505"/>
      <c r="BK22" s="505"/>
      <c r="BL22" s="505"/>
      <c r="BM22" s="505"/>
      <c r="BN22" s="50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row>
    <row r="23" spans="1:100" ht="15" customHeight="1" x14ac:dyDescent="0.35">
      <c r="A23" s="56"/>
      <c r="B23" s="307"/>
      <c r="C23" s="307"/>
      <c r="D23" s="308"/>
      <c r="E23" s="468"/>
      <c r="F23" s="469"/>
      <c r="G23" s="469"/>
      <c r="H23" s="469"/>
      <c r="I23" s="470"/>
      <c r="J23" s="450"/>
      <c r="K23" s="450"/>
      <c r="L23" s="450"/>
      <c r="M23" s="450"/>
      <c r="N23" s="450"/>
      <c r="O23" s="450"/>
      <c r="P23" s="450"/>
      <c r="Q23" s="450"/>
      <c r="R23" s="450"/>
      <c r="S23" s="450"/>
      <c r="T23" s="491"/>
      <c r="U23" s="450"/>
      <c r="V23" s="450"/>
      <c r="W23" s="450"/>
      <c r="X23" s="450"/>
      <c r="Y23" s="450"/>
      <c r="Z23" s="450"/>
      <c r="AA23" s="450"/>
      <c r="AB23" s="450"/>
      <c r="AC23" s="490"/>
      <c r="AD23" s="491"/>
      <c r="AE23" s="450"/>
      <c r="AF23" s="450"/>
      <c r="AG23" s="450"/>
      <c r="AH23" s="450"/>
      <c r="AI23" s="450"/>
      <c r="AJ23" s="450"/>
      <c r="AK23" s="450"/>
      <c r="AL23" s="450"/>
      <c r="AM23" s="490"/>
      <c r="AN23" s="491"/>
      <c r="AO23" s="450"/>
      <c r="AP23" s="450"/>
      <c r="AQ23" s="450"/>
      <c r="AR23" s="450"/>
      <c r="AS23" s="450"/>
      <c r="AT23" s="450"/>
      <c r="AU23" s="450"/>
      <c r="AV23" s="450"/>
      <c r="AW23" s="490"/>
      <c r="AX23" s="482"/>
      <c r="AY23" s="480"/>
      <c r="AZ23" s="480"/>
      <c r="BA23" s="480"/>
      <c r="BB23" s="480"/>
      <c r="BC23" s="480"/>
      <c r="BD23" s="480"/>
      <c r="BE23" s="480"/>
      <c r="BF23" s="480"/>
      <c r="BG23" s="481"/>
      <c r="BH23" s="56"/>
      <c r="BI23" s="504"/>
      <c r="BJ23" s="505"/>
      <c r="BK23" s="505"/>
      <c r="BL23" s="505"/>
      <c r="BM23" s="505"/>
      <c r="BN23" s="50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row>
    <row r="24" spans="1:100" ht="15" customHeight="1" x14ac:dyDescent="0.35">
      <c r="A24" s="56"/>
      <c r="B24" s="307"/>
      <c r="C24" s="307"/>
      <c r="D24" s="308"/>
      <c r="E24" s="468"/>
      <c r="F24" s="469"/>
      <c r="G24" s="469"/>
      <c r="H24" s="469"/>
      <c r="I24" s="470"/>
      <c r="J24" s="450" t="str">
        <f>IF(AND('Mapa final'!$K$136="Muy Alta",'Mapa final'!$O$136="Leve"),CONCATENATE("R",'Mapa final'!$A$136),"")</f>
        <v/>
      </c>
      <c r="K24" s="450"/>
      <c r="L24" s="450" t="str">
        <f>IF(AND('Mapa final'!$K$139="Muy Alta",'Mapa final'!$O$139="Leve"),CONCATENATE("R",'Mapa final'!$A$139),"")</f>
        <v/>
      </c>
      <c r="M24" s="450"/>
      <c r="N24" s="450" t="str">
        <f>IF(AND('Mapa final'!$K$142="Muy Alta",'Mapa final'!$O$142="Leve"),CONCATENATE("R",'Mapa final'!$A$142),"")</f>
        <v/>
      </c>
      <c r="O24" s="450"/>
      <c r="P24" s="450" t="str">
        <f>IF(AND('Mapa final'!$K$145="Muy Alta",'Mapa final'!$O$145="Leve"),CONCATENATE("R",'Mapa final'!$A$145),"")</f>
        <v/>
      </c>
      <c r="Q24" s="450"/>
      <c r="R24" s="450" t="str">
        <f>IF(AND('Mapa final'!$K$148="Muy Alta",'Mapa final'!$O$148="Leve"),CONCATENATE("R",'Mapa final'!$A$148),"")</f>
        <v/>
      </c>
      <c r="S24" s="450"/>
      <c r="T24" s="491" t="str">
        <f>IF(AND('Mapa final'!$K$136="Muy Alta",'Mapa final'!$O$136="Menor"),CONCATENATE("R",'Mapa final'!$A$136),"")</f>
        <v/>
      </c>
      <c r="U24" s="450"/>
      <c r="V24" s="450" t="str">
        <f>IF(AND('Mapa final'!$K$139="Muy Alta",'Mapa final'!$O$139="Menor"),CONCATENATE("R",'Mapa final'!$A$139),"")</f>
        <v/>
      </c>
      <c r="W24" s="450"/>
      <c r="X24" s="450" t="str">
        <f>IF(AND('Mapa final'!$K$142="Muy Alta",'Mapa final'!$O$142="Menor"),CONCATENATE("R",'Mapa final'!$A$142),"")</f>
        <v/>
      </c>
      <c r="Y24" s="450"/>
      <c r="Z24" s="450" t="str">
        <f>IF(AND('Mapa final'!$K$145="Muy Alta",'Mapa final'!$O$145="Menor"),CONCATENATE("R",'Mapa final'!$A$145),"")</f>
        <v/>
      </c>
      <c r="AA24" s="450"/>
      <c r="AB24" s="450" t="str">
        <f>IF(AND('Mapa final'!$K$148="Muy Alta",'Mapa final'!$O$148="Menor"),CONCATENATE("R",'Mapa final'!$A$148),"")</f>
        <v/>
      </c>
      <c r="AC24" s="490"/>
      <c r="AD24" s="491" t="str">
        <f>IF(AND('Mapa final'!$K$136="Muy Alta",'Mapa final'!$O$136="Moderado"),CONCATENATE("R",'Mapa final'!$A$136),"")</f>
        <v/>
      </c>
      <c r="AE24" s="450"/>
      <c r="AF24" s="450" t="str">
        <f>IF(AND('Mapa final'!$K$139="Muy Alta",'Mapa final'!$O$139="Moderado"),CONCATENATE("R",'Mapa final'!$A$139),"")</f>
        <v/>
      </c>
      <c r="AG24" s="450"/>
      <c r="AH24" s="450" t="str">
        <f>IF(AND('Mapa final'!$K$142="Muy Alta",'Mapa final'!$O$142="Moderado"),CONCATENATE("R",'Mapa final'!$A$142),"")</f>
        <v/>
      </c>
      <c r="AI24" s="450"/>
      <c r="AJ24" s="450" t="str">
        <f>IF(AND('Mapa final'!$K$145="Muy Alta",'Mapa final'!$O$145="Moderado"),CONCATENATE("R",'Mapa final'!$A$145),"")</f>
        <v/>
      </c>
      <c r="AK24" s="450"/>
      <c r="AL24" s="450" t="str">
        <f>IF(AND('Mapa final'!$K$148="Muy Alta",'Mapa final'!$O$148="Moderado"),CONCATENATE("R",'Mapa final'!$A$148),"")</f>
        <v/>
      </c>
      <c r="AM24" s="490"/>
      <c r="AN24" s="491" t="str">
        <f>IF(AND('Mapa final'!$K$136="Muy Alta",'Mapa final'!$O$136="Mayor"),CONCATENATE("R",'Mapa final'!$A$136),"")</f>
        <v/>
      </c>
      <c r="AO24" s="450"/>
      <c r="AP24" s="450" t="str">
        <f>IF(AND('Mapa final'!$K$139="Muy Alta",'Mapa final'!$O$139="Mayor"),CONCATENATE("R",'Mapa final'!$A$139),"")</f>
        <v/>
      </c>
      <c r="AQ24" s="450"/>
      <c r="AR24" s="450" t="str">
        <f>IF(AND('Mapa final'!$K$142="Muy Alta",'Mapa final'!$O$142="Mayor"),CONCATENATE("R",'Mapa final'!$A$142),"")</f>
        <v/>
      </c>
      <c r="AS24" s="450"/>
      <c r="AT24" s="450" t="str">
        <f>IF(AND('Mapa final'!$K$145="Muy Alta",'Mapa final'!$O$145="Mayor"),CONCATENATE("R",'Mapa final'!$A$145),"")</f>
        <v/>
      </c>
      <c r="AU24" s="450"/>
      <c r="AV24" s="450" t="str">
        <f>IF(AND('Mapa final'!$K$148="Muy Alta",'Mapa final'!$O$148="Mayor"),CONCATENATE("R",'Mapa final'!$A$148),"")</f>
        <v/>
      </c>
      <c r="AW24" s="490"/>
      <c r="AX24" s="482" t="str">
        <f>IF(AND('Mapa final'!$K$136="Muy Alta",'Mapa final'!$O$136="Catastrófico"),CONCATENATE("R",'Mapa final'!$A$136),"")</f>
        <v/>
      </c>
      <c r="AY24" s="480"/>
      <c r="AZ24" s="480" t="str">
        <f>IF(AND('Mapa final'!$K$139="Muy Alta",'Mapa final'!$O$139="Catastrófico"),CONCATENATE("R",'Mapa final'!$A$139),"")</f>
        <v/>
      </c>
      <c r="BA24" s="480"/>
      <c r="BB24" s="480" t="str">
        <f>IF(AND('Mapa final'!$K$142="Muy Alta",'Mapa final'!$O$142="Catastrófico"),CONCATENATE("R",'Mapa final'!$A$142),"")</f>
        <v/>
      </c>
      <c r="BC24" s="480"/>
      <c r="BD24" s="480" t="str">
        <f>IF(AND('Mapa final'!$K$145="Muy Alta",'Mapa final'!$O$145="Catastrófico"),CONCATENATE("R",'Mapa final'!$A$145),"")</f>
        <v/>
      </c>
      <c r="BE24" s="480"/>
      <c r="BF24" s="480" t="str">
        <f>IF(AND('Mapa final'!$K$148="Muy Alta",'Mapa final'!$O$148="Catastrófico"),CONCATENATE("R",'Mapa final'!$A$148),"")</f>
        <v/>
      </c>
      <c r="BG24" s="481"/>
      <c r="BH24" s="56"/>
      <c r="BI24" s="504"/>
      <c r="BJ24" s="505"/>
      <c r="BK24" s="505"/>
      <c r="BL24" s="505"/>
      <c r="BM24" s="505"/>
      <c r="BN24" s="50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row>
    <row r="25" spans="1:100" ht="15.75" customHeight="1" thickBot="1" x14ac:dyDescent="0.4">
      <c r="A25" s="56"/>
      <c r="B25" s="307"/>
      <c r="C25" s="307"/>
      <c r="D25" s="308"/>
      <c r="E25" s="471"/>
      <c r="F25" s="472"/>
      <c r="G25" s="472"/>
      <c r="H25" s="472"/>
      <c r="I25" s="473"/>
      <c r="J25" s="450"/>
      <c r="K25" s="450"/>
      <c r="L25" s="450"/>
      <c r="M25" s="450"/>
      <c r="N25" s="450"/>
      <c r="O25" s="450"/>
      <c r="P25" s="450"/>
      <c r="Q25" s="450"/>
      <c r="R25" s="450"/>
      <c r="S25" s="450"/>
      <c r="T25" s="492"/>
      <c r="U25" s="489"/>
      <c r="V25" s="489"/>
      <c r="W25" s="489"/>
      <c r="X25" s="489"/>
      <c r="Y25" s="489"/>
      <c r="Z25" s="489"/>
      <c r="AA25" s="489"/>
      <c r="AB25" s="489"/>
      <c r="AC25" s="493"/>
      <c r="AD25" s="492"/>
      <c r="AE25" s="489"/>
      <c r="AF25" s="489"/>
      <c r="AG25" s="489"/>
      <c r="AH25" s="489"/>
      <c r="AI25" s="489"/>
      <c r="AJ25" s="489"/>
      <c r="AK25" s="489"/>
      <c r="AL25" s="489"/>
      <c r="AM25" s="493"/>
      <c r="AN25" s="492"/>
      <c r="AO25" s="489"/>
      <c r="AP25" s="489"/>
      <c r="AQ25" s="489"/>
      <c r="AR25" s="489"/>
      <c r="AS25" s="489"/>
      <c r="AT25" s="489"/>
      <c r="AU25" s="489"/>
      <c r="AV25" s="489"/>
      <c r="AW25" s="493"/>
      <c r="AX25" s="483"/>
      <c r="AY25" s="484"/>
      <c r="AZ25" s="484"/>
      <c r="BA25" s="484"/>
      <c r="BB25" s="484"/>
      <c r="BC25" s="484"/>
      <c r="BD25" s="484"/>
      <c r="BE25" s="484"/>
      <c r="BF25" s="484"/>
      <c r="BG25" s="485"/>
      <c r="BH25" s="56"/>
      <c r="BI25" s="504"/>
      <c r="BJ25" s="505"/>
      <c r="BK25" s="505"/>
      <c r="BL25" s="505"/>
      <c r="BM25" s="505"/>
      <c r="BN25" s="50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row>
    <row r="26" spans="1:100" ht="15" customHeight="1" x14ac:dyDescent="0.35">
      <c r="A26" s="56"/>
      <c r="B26" s="307"/>
      <c r="C26" s="307"/>
      <c r="D26" s="308"/>
      <c r="E26" s="465" t="s">
        <v>106</v>
      </c>
      <c r="F26" s="466"/>
      <c r="G26" s="466"/>
      <c r="H26" s="466"/>
      <c r="I26" s="466"/>
      <c r="J26" s="478" t="str">
        <f>IF(AND('Mapa final'!$K$7="Alta",'Mapa final'!$O$7="Leve"),CONCATENATE("R",'Mapa final'!$A$7),"")</f>
        <v/>
      </c>
      <c r="K26" s="463"/>
      <c r="L26" s="463" t="str">
        <f>IF(AND('Mapa final'!$K$10="Alta",'Mapa final'!$O$10="Leve"),CONCATENATE("R",'Mapa final'!$A$10),"")</f>
        <v/>
      </c>
      <c r="M26" s="463"/>
      <c r="N26" s="463" t="str">
        <f>IF(AND('Mapa final'!$K$13="Alta",'Mapa final'!$O$13="Leve"),CONCATENATE("R",'Mapa final'!$A$13),"")</f>
        <v/>
      </c>
      <c r="O26" s="463"/>
      <c r="P26" s="463" t="e">
        <f>IF(AND('Mapa final'!#REF!="Alta",'Mapa final'!#REF!="Leve"),CONCATENATE("R",'Mapa final'!#REF!),"")</f>
        <v>#REF!</v>
      </c>
      <c r="Q26" s="463"/>
      <c r="R26" s="463" t="e">
        <f>IF(AND('Mapa final'!#REF!="Alta",'Mapa final'!#REF!="Leve"),CONCATENATE("R",'Mapa final'!#REF!),"")</f>
        <v>#REF!</v>
      </c>
      <c r="S26" s="479"/>
      <c r="T26" s="478" t="str">
        <f>IF(AND('Mapa final'!$K$7="Alta",'Mapa final'!$O$7="Menor"),CONCATENATE("R",'Mapa final'!$A$7),"")</f>
        <v/>
      </c>
      <c r="U26" s="463"/>
      <c r="V26" s="463" t="str">
        <f>IF(AND('Mapa final'!$K$10="Alta",'Mapa final'!$O$10="Menor"),CONCATENATE("R",'Mapa final'!$A$10),"")</f>
        <v/>
      </c>
      <c r="W26" s="463"/>
      <c r="X26" s="463" t="str">
        <f>IF(AND('Mapa final'!$K$13="Alta",'Mapa final'!$O$13="Menor"),CONCATENATE("R",'Mapa final'!$A$13),"")</f>
        <v/>
      </c>
      <c r="Y26" s="463"/>
      <c r="Z26" s="463" t="e">
        <f>IF(AND('Mapa final'!#REF!="Alta",'Mapa final'!#REF!="Menor"),CONCATENATE("R",'Mapa final'!#REF!),"")</f>
        <v>#REF!</v>
      </c>
      <c r="AA26" s="463"/>
      <c r="AB26" s="463" t="e">
        <f>IF(AND('Mapa final'!#REF!="Alta",'Mapa final'!#REF!="Menor"),CONCATENATE("R",'Mapa final'!#REF!),"")</f>
        <v>#REF!</v>
      </c>
      <c r="AC26" s="479"/>
      <c r="AD26" s="494" t="str">
        <f>IF(AND('Mapa final'!$K$7="Alta",'Mapa final'!$O$7="Moderado"),CONCATENATE("R",'Mapa final'!$A$7),"")</f>
        <v/>
      </c>
      <c r="AE26" s="495"/>
      <c r="AF26" s="495" t="str">
        <f>IF(AND('Mapa final'!$K$10="Alta",'Mapa final'!$O$10="Moderado"),CONCATENATE("R",'Mapa final'!$A$10),"")</f>
        <v/>
      </c>
      <c r="AG26" s="495"/>
      <c r="AH26" s="495" t="str">
        <f>IF(AND('Mapa final'!$K$13="Alta",'Mapa final'!$O$13="Moderado"),CONCATENATE("R",'Mapa final'!$A$13),"")</f>
        <v>R3</v>
      </c>
      <c r="AI26" s="495"/>
      <c r="AJ26" s="495" t="e">
        <f>IF(AND('Mapa final'!#REF!="Alta",'Mapa final'!#REF!="Moderado"),CONCATENATE("R",'Mapa final'!#REF!),"")</f>
        <v>#REF!</v>
      </c>
      <c r="AK26" s="495"/>
      <c r="AL26" s="495" t="e">
        <f>IF(AND('Mapa final'!#REF!="Alta",'Mapa final'!#REF!="Moderado"),CONCATENATE("R",'Mapa final'!#REF!),"")</f>
        <v>#REF!</v>
      </c>
      <c r="AM26" s="496"/>
      <c r="AN26" s="494" t="str">
        <f>IF(AND('Mapa final'!$K$7="Alta",'Mapa final'!$O$7="Mayor"),CONCATENATE("R",'Mapa final'!$A$7),"")</f>
        <v/>
      </c>
      <c r="AO26" s="495"/>
      <c r="AP26" s="495" t="str">
        <f>IF(AND('Mapa final'!$K$10="Alta",'Mapa final'!$O$10="Mayor"),CONCATENATE("R",'Mapa final'!$A$10),"")</f>
        <v/>
      </c>
      <c r="AQ26" s="495"/>
      <c r="AR26" s="495" t="str">
        <f>IF(AND('Mapa final'!$K$13="Alta",'Mapa final'!$O$13="Mayor"),CONCATENATE("R",'Mapa final'!$A$13),"")</f>
        <v/>
      </c>
      <c r="AS26" s="495"/>
      <c r="AT26" s="495" t="e">
        <f>IF(AND('Mapa final'!#REF!="Alta",'Mapa final'!#REF!="Mayor"),CONCATENATE("R",'Mapa final'!#REF!),"")</f>
        <v>#REF!</v>
      </c>
      <c r="AU26" s="495"/>
      <c r="AV26" s="495" t="e">
        <f>IF(AND('Mapa final'!#REF!="Alta",'Mapa final'!#REF!="Mayor"),CONCATENATE("R",'Mapa final'!#REF!),"")</f>
        <v>#REF!</v>
      </c>
      <c r="AW26" s="496"/>
      <c r="AX26" s="486" t="str">
        <f>IF(AND('Mapa final'!$K$7="Alta",'Mapa final'!$O$7="Catastrófico"),CONCATENATE("R",'Mapa final'!$A$7),"")</f>
        <v/>
      </c>
      <c r="AY26" s="487"/>
      <c r="AZ26" s="487" t="str">
        <f>IF(AND('Mapa final'!$K$10="Alta",'Mapa final'!$O$10="Catastrófico"),CONCATENATE("R",'Mapa final'!$A$10),"")</f>
        <v/>
      </c>
      <c r="BA26" s="487"/>
      <c r="BB26" s="487" t="str">
        <f>IF(AND('Mapa final'!$K$13="Alta",'Mapa final'!$O$13="Catastrófico"),CONCATENATE("R",'Mapa final'!$A$13),"")</f>
        <v/>
      </c>
      <c r="BC26" s="487"/>
      <c r="BD26" s="487" t="e">
        <f>IF(AND('Mapa final'!#REF!="Alta",'Mapa final'!#REF!="Catastrófico"),CONCATENATE("R",'Mapa final'!#REF!),"")</f>
        <v>#REF!</v>
      </c>
      <c r="BE26" s="487"/>
      <c r="BF26" s="487" t="e">
        <f>IF(AND('Mapa final'!#REF!="Alta",'Mapa final'!#REF!="Catastrófico"),CONCATENATE("R",'Mapa final'!#REF!),"")</f>
        <v>#REF!</v>
      </c>
      <c r="BG26" s="488"/>
      <c r="BH26" s="56"/>
      <c r="BI26" s="504"/>
      <c r="BJ26" s="505"/>
      <c r="BK26" s="505"/>
      <c r="BL26" s="505"/>
      <c r="BM26" s="505"/>
      <c r="BN26" s="50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row>
    <row r="27" spans="1:100" ht="15" customHeight="1" x14ac:dyDescent="0.35">
      <c r="A27" s="56"/>
      <c r="B27" s="307"/>
      <c r="C27" s="307"/>
      <c r="D27" s="308"/>
      <c r="E27" s="468"/>
      <c r="F27" s="469"/>
      <c r="G27" s="469"/>
      <c r="H27" s="469"/>
      <c r="I27" s="474"/>
      <c r="J27" s="457"/>
      <c r="K27" s="458"/>
      <c r="L27" s="458"/>
      <c r="M27" s="458"/>
      <c r="N27" s="458"/>
      <c r="O27" s="458"/>
      <c r="P27" s="458"/>
      <c r="Q27" s="458"/>
      <c r="R27" s="458"/>
      <c r="S27" s="461"/>
      <c r="T27" s="457"/>
      <c r="U27" s="458"/>
      <c r="V27" s="458"/>
      <c r="W27" s="458"/>
      <c r="X27" s="458"/>
      <c r="Y27" s="458"/>
      <c r="Z27" s="458"/>
      <c r="AA27" s="458"/>
      <c r="AB27" s="458"/>
      <c r="AC27" s="461"/>
      <c r="AD27" s="491"/>
      <c r="AE27" s="450"/>
      <c r="AF27" s="450"/>
      <c r="AG27" s="450"/>
      <c r="AH27" s="450"/>
      <c r="AI27" s="450"/>
      <c r="AJ27" s="450"/>
      <c r="AK27" s="450"/>
      <c r="AL27" s="450"/>
      <c r="AM27" s="490"/>
      <c r="AN27" s="491"/>
      <c r="AO27" s="450"/>
      <c r="AP27" s="450"/>
      <c r="AQ27" s="450"/>
      <c r="AR27" s="450"/>
      <c r="AS27" s="450"/>
      <c r="AT27" s="450"/>
      <c r="AU27" s="450"/>
      <c r="AV27" s="450"/>
      <c r="AW27" s="490"/>
      <c r="AX27" s="482"/>
      <c r="AY27" s="480"/>
      <c r="AZ27" s="480"/>
      <c r="BA27" s="480"/>
      <c r="BB27" s="480"/>
      <c r="BC27" s="480"/>
      <c r="BD27" s="480"/>
      <c r="BE27" s="480"/>
      <c r="BF27" s="480"/>
      <c r="BG27" s="481"/>
      <c r="BH27" s="56"/>
      <c r="BI27" s="504"/>
      <c r="BJ27" s="505"/>
      <c r="BK27" s="505"/>
      <c r="BL27" s="505"/>
      <c r="BM27" s="505"/>
      <c r="BN27" s="50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row>
    <row r="28" spans="1:100" ht="15" customHeight="1" x14ac:dyDescent="0.35">
      <c r="A28" s="56"/>
      <c r="B28" s="307"/>
      <c r="C28" s="307"/>
      <c r="D28" s="308"/>
      <c r="E28" s="468"/>
      <c r="F28" s="469"/>
      <c r="G28" s="469"/>
      <c r="H28" s="469"/>
      <c r="I28" s="474"/>
      <c r="J28" s="457" t="str">
        <f>IF(AND('Mapa final'!$K$16="Alta",'Mapa final'!$O$16="Leve"),CONCATENATE("R",'Mapa final'!$A$16),"")</f>
        <v/>
      </c>
      <c r="K28" s="458"/>
      <c r="L28" s="458" t="str">
        <f>IF(AND('Mapa final'!$K$19="Alta",'Mapa final'!$O$19="Leve"),CONCATENATE("R",'Mapa final'!$A$19),"")</f>
        <v/>
      </c>
      <c r="M28" s="458"/>
      <c r="N28" s="458" t="str">
        <f>IF(AND('Mapa final'!$K$22="Alta",'Mapa final'!$O$22="Leve"),CONCATENATE("R",'Mapa final'!$A$22),"")</f>
        <v/>
      </c>
      <c r="O28" s="458"/>
      <c r="P28" s="458" t="str">
        <f>IF(AND('Mapa final'!$K$25="Alta",'Mapa final'!$O$25="Leve"),CONCATENATE("R",'Mapa final'!$A$25),"")</f>
        <v/>
      </c>
      <c r="Q28" s="458"/>
      <c r="R28" s="458" t="str">
        <f>IF(AND('Mapa final'!$K$28="Alta",'Mapa final'!$O$28="Leve"),CONCATENATE("R",'Mapa final'!$A$28),"")</f>
        <v/>
      </c>
      <c r="S28" s="461"/>
      <c r="T28" s="457" t="str">
        <f>IF(AND('Mapa final'!$K$16="Alta",'Mapa final'!$O$16="Menor"),CONCATENATE("R",'Mapa final'!$A$16),"")</f>
        <v/>
      </c>
      <c r="U28" s="458"/>
      <c r="V28" s="458" t="str">
        <f>IF(AND('Mapa final'!$K$19="Alta",'Mapa final'!$O$19="Menor"),CONCATENATE("R",'Mapa final'!$A$19),"")</f>
        <v/>
      </c>
      <c r="W28" s="458"/>
      <c r="X28" s="458" t="str">
        <f>IF(AND('Mapa final'!$K$22="Alta",'Mapa final'!$O$22="Menor"),CONCATENATE("R",'Mapa final'!$A$22),"")</f>
        <v/>
      </c>
      <c r="Y28" s="458"/>
      <c r="Z28" s="458" t="str">
        <f>IF(AND('Mapa final'!$K$25="Alta",'Mapa final'!$O$25="Menor"),CONCATENATE("R",'Mapa final'!$A$25),"")</f>
        <v/>
      </c>
      <c r="AA28" s="458"/>
      <c r="AB28" s="458" t="str">
        <f>IF(AND('Mapa final'!$K$28="Alta",'Mapa final'!$O$28="Menor"),CONCATENATE("R",'Mapa final'!$A$28),"")</f>
        <v/>
      </c>
      <c r="AC28" s="461"/>
      <c r="AD28" s="491" t="str">
        <f>IF(AND('Mapa final'!$K$16="Alta",'Mapa final'!$O$16="Moderado"),CONCATENATE("R",'Mapa final'!$A$16),"")</f>
        <v/>
      </c>
      <c r="AE28" s="450"/>
      <c r="AF28" s="450" t="str">
        <f>IF(AND('Mapa final'!$K$19="Alta",'Mapa final'!$O$19="Moderado"),CONCATENATE("R",'Mapa final'!$A$19),"")</f>
        <v/>
      </c>
      <c r="AG28" s="450"/>
      <c r="AH28" s="450" t="str">
        <f>IF(AND('Mapa final'!$K$22="Alta",'Mapa final'!$O$22="Moderado"),CONCATENATE("R",'Mapa final'!$A$22),"")</f>
        <v>R7</v>
      </c>
      <c r="AI28" s="450"/>
      <c r="AJ28" s="450" t="str">
        <f>IF(AND('Mapa final'!$K$25="Alta",'Mapa final'!$O$25="Moderado"),CONCATENATE("R",'Mapa final'!$A$25),"")</f>
        <v/>
      </c>
      <c r="AK28" s="450"/>
      <c r="AL28" s="450" t="str">
        <f>IF(AND('Mapa final'!$K$28="Alta",'Mapa final'!$O$28="Moderado"),CONCATENATE("R",'Mapa final'!$A$28),"")</f>
        <v>R9</v>
      </c>
      <c r="AM28" s="490"/>
      <c r="AN28" s="491" t="str">
        <f>IF(AND('Mapa final'!$K$16="Alta",'Mapa final'!$O$16="Mayor"),CONCATENATE("R",'Mapa final'!$A$16),"")</f>
        <v/>
      </c>
      <c r="AO28" s="450"/>
      <c r="AP28" s="450" t="str">
        <f>IF(AND('Mapa final'!$K$19="Alta",'Mapa final'!$O$19="Mayor"),CONCATENATE("R",'Mapa final'!$A$19),"")</f>
        <v/>
      </c>
      <c r="AQ28" s="450"/>
      <c r="AR28" s="450" t="str">
        <f>IF(AND('Mapa final'!$K$22="Alta",'Mapa final'!$O$22="Mayor"),CONCATENATE("R",'Mapa final'!$A$22),"")</f>
        <v/>
      </c>
      <c r="AS28" s="450"/>
      <c r="AT28" s="450" t="str">
        <f>IF(AND('Mapa final'!$K$25="Alta",'Mapa final'!$O$25="Mayor"),CONCATENATE("R",'Mapa final'!$A$25),"")</f>
        <v>R8</v>
      </c>
      <c r="AU28" s="450"/>
      <c r="AV28" s="450" t="str">
        <f>IF(AND('Mapa final'!$K$28="Alta",'Mapa final'!$O$28="Mayor"),CONCATENATE("R",'Mapa final'!$A$28),"")</f>
        <v/>
      </c>
      <c r="AW28" s="490"/>
      <c r="AX28" s="482" t="str">
        <f>IF(AND('Mapa final'!$K$16="Alta",'Mapa final'!$O$16="Catastrófico"),CONCATENATE("R",'Mapa final'!$A$16),"")</f>
        <v/>
      </c>
      <c r="AY28" s="480"/>
      <c r="AZ28" s="480" t="str">
        <f>IF(AND('Mapa final'!$K$19="Alta",'Mapa final'!$O$19="Catastrófico"),CONCATENATE("R",'Mapa final'!$A$19),"")</f>
        <v/>
      </c>
      <c r="BA28" s="480"/>
      <c r="BB28" s="480" t="str">
        <f>IF(AND('Mapa final'!$K$22="Alta",'Mapa final'!$O$22="Catastrófico"),CONCATENATE("R",'Mapa final'!$A$22),"")</f>
        <v/>
      </c>
      <c r="BC28" s="480"/>
      <c r="BD28" s="480" t="str">
        <f>IF(AND('Mapa final'!$K$25="Alta",'Mapa final'!$O$25="Catastrófico"),CONCATENATE("R",'Mapa final'!$A$25),"")</f>
        <v/>
      </c>
      <c r="BE28" s="480"/>
      <c r="BF28" s="480" t="str">
        <f>IF(AND('Mapa final'!$K$28="Alta",'Mapa final'!$O$28="Catastrófico"),CONCATENATE("R",'Mapa final'!$A$28),"")</f>
        <v/>
      </c>
      <c r="BG28" s="481"/>
      <c r="BH28" s="56"/>
      <c r="BI28" s="504"/>
      <c r="BJ28" s="505"/>
      <c r="BK28" s="505"/>
      <c r="BL28" s="505"/>
      <c r="BM28" s="505"/>
      <c r="BN28" s="50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row>
    <row r="29" spans="1:100" ht="15" customHeight="1" x14ac:dyDescent="0.35">
      <c r="A29" s="56"/>
      <c r="B29" s="307"/>
      <c r="C29" s="307"/>
      <c r="D29" s="308"/>
      <c r="E29" s="468"/>
      <c r="F29" s="469"/>
      <c r="G29" s="469"/>
      <c r="H29" s="469"/>
      <c r="I29" s="474"/>
      <c r="J29" s="457"/>
      <c r="K29" s="458"/>
      <c r="L29" s="458"/>
      <c r="M29" s="458"/>
      <c r="N29" s="458"/>
      <c r="O29" s="458"/>
      <c r="P29" s="458"/>
      <c r="Q29" s="458"/>
      <c r="R29" s="458"/>
      <c r="S29" s="461"/>
      <c r="T29" s="457"/>
      <c r="U29" s="458"/>
      <c r="V29" s="458"/>
      <c r="W29" s="458"/>
      <c r="X29" s="458"/>
      <c r="Y29" s="458"/>
      <c r="Z29" s="458"/>
      <c r="AA29" s="458"/>
      <c r="AB29" s="458"/>
      <c r="AC29" s="461"/>
      <c r="AD29" s="491"/>
      <c r="AE29" s="450"/>
      <c r="AF29" s="450"/>
      <c r="AG29" s="450"/>
      <c r="AH29" s="450"/>
      <c r="AI29" s="450"/>
      <c r="AJ29" s="450"/>
      <c r="AK29" s="450"/>
      <c r="AL29" s="450"/>
      <c r="AM29" s="490"/>
      <c r="AN29" s="491"/>
      <c r="AO29" s="450"/>
      <c r="AP29" s="450"/>
      <c r="AQ29" s="450"/>
      <c r="AR29" s="450"/>
      <c r="AS29" s="450"/>
      <c r="AT29" s="450"/>
      <c r="AU29" s="450"/>
      <c r="AV29" s="450"/>
      <c r="AW29" s="490"/>
      <c r="AX29" s="482"/>
      <c r="AY29" s="480"/>
      <c r="AZ29" s="480"/>
      <c r="BA29" s="480"/>
      <c r="BB29" s="480"/>
      <c r="BC29" s="480"/>
      <c r="BD29" s="480"/>
      <c r="BE29" s="480"/>
      <c r="BF29" s="480"/>
      <c r="BG29" s="481"/>
      <c r="BH29" s="56"/>
      <c r="BI29" s="504"/>
      <c r="BJ29" s="505"/>
      <c r="BK29" s="505"/>
      <c r="BL29" s="505"/>
      <c r="BM29" s="505"/>
      <c r="BN29" s="50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row>
    <row r="30" spans="1:100" ht="15" customHeight="1" x14ac:dyDescent="0.35">
      <c r="A30" s="56"/>
      <c r="B30" s="307"/>
      <c r="C30" s="307"/>
      <c r="D30" s="308"/>
      <c r="E30" s="468"/>
      <c r="F30" s="469"/>
      <c r="G30" s="469"/>
      <c r="H30" s="469"/>
      <c r="I30" s="474"/>
      <c r="J30" s="457" t="str">
        <f>IF(AND('Mapa final'!$K$31="Alta",'Mapa final'!$O$31="Leve"),CONCATENATE("R",'Mapa final'!$A$31),"")</f>
        <v/>
      </c>
      <c r="K30" s="458"/>
      <c r="L30" s="458" t="str">
        <f>IF(AND('Mapa final'!$K$34="Alta",'Mapa final'!$O$34="Leve"),CONCATENATE("R",'Mapa final'!$A$34),"")</f>
        <v/>
      </c>
      <c r="M30" s="458"/>
      <c r="N30" s="458" t="str">
        <f>IF(AND('Mapa final'!$K$37="Alta",'Mapa final'!$O$37="Leve"),CONCATENATE("R",'Mapa final'!$A$37),"")</f>
        <v/>
      </c>
      <c r="O30" s="458"/>
      <c r="P30" s="458" t="str">
        <f>IF(AND('Mapa final'!$K$40="Alta",'Mapa final'!$O$40="Leve"),CONCATENATE("R",'Mapa final'!$A$40),"")</f>
        <v/>
      </c>
      <c r="Q30" s="458"/>
      <c r="R30" s="458" t="str">
        <f>IF(AND('Mapa final'!$K$43="Alta",'Mapa final'!$O$43="Leve"),CONCATENATE("R",'Mapa final'!$A$43),"")</f>
        <v/>
      </c>
      <c r="S30" s="461"/>
      <c r="T30" s="457" t="str">
        <f>IF(AND('Mapa final'!$K$31="Alta",'Mapa final'!$O$31="Menor"),CONCATENATE("R",'Mapa final'!$A$31),"")</f>
        <v/>
      </c>
      <c r="U30" s="458"/>
      <c r="V30" s="458" t="str">
        <f>IF(AND('Mapa final'!$K$34="Alta",'Mapa final'!$O$34="Menor"),CONCATENATE("R",'Mapa final'!$A$34),"")</f>
        <v/>
      </c>
      <c r="W30" s="458"/>
      <c r="X30" s="458" t="str">
        <f>IF(AND('Mapa final'!$K$37="Alta",'Mapa final'!$O$37="Menor"),CONCATENATE("R",'Mapa final'!$A$37),"")</f>
        <v/>
      </c>
      <c r="Y30" s="458"/>
      <c r="Z30" s="458" t="str">
        <f>IF(AND('Mapa final'!$K$40="Alta",'Mapa final'!$O$40="Menor"),CONCATENATE("R",'Mapa final'!$A$40),"")</f>
        <v/>
      </c>
      <c r="AA30" s="458"/>
      <c r="AB30" s="458" t="str">
        <f>IF(AND('Mapa final'!$K$43="Alta",'Mapa final'!$O$43="Menor"),CONCATENATE("R",'Mapa final'!$A$43),"")</f>
        <v/>
      </c>
      <c r="AC30" s="461"/>
      <c r="AD30" s="491" t="str">
        <f>IF(AND('Mapa final'!$K$31="Alta",'Mapa final'!$O$31="Moderado"),CONCATENATE("R",'Mapa final'!$A$31),"")</f>
        <v/>
      </c>
      <c r="AE30" s="450"/>
      <c r="AF30" s="450" t="str">
        <f>IF(AND('Mapa final'!$K$34="Alta",'Mapa final'!$O$34="Moderado"),CONCATENATE("R",'Mapa final'!$A$34),"")</f>
        <v/>
      </c>
      <c r="AG30" s="450"/>
      <c r="AH30" s="450" t="str">
        <f>IF(AND('Mapa final'!$K$37="Alta",'Mapa final'!$O$37="Moderado"),CONCATENATE("R",'Mapa final'!$A$37),"")</f>
        <v/>
      </c>
      <c r="AI30" s="450"/>
      <c r="AJ30" s="450" t="str">
        <f>IF(AND('Mapa final'!$K$40="Alta",'Mapa final'!$O$40="Moderado"),CONCATENATE("R",'Mapa final'!$A$40),"")</f>
        <v/>
      </c>
      <c r="AK30" s="450"/>
      <c r="AL30" s="450" t="str">
        <f>IF(AND('Mapa final'!$K$43="Alta",'Mapa final'!$O$43="Moderado"),CONCATENATE("R",'Mapa final'!$A$43),"")</f>
        <v>R14</v>
      </c>
      <c r="AM30" s="490"/>
      <c r="AN30" s="491" t="str">
        <f>IF(AND('Mapa final'!$K$31="Alta",'Mapa final'!$O$31="Mayor"),CONCATENATE("R",'Mapa final'!$A$31),"")</f>
        <v/>
      </c>
      <c r="AO30" s="450"/>
      <c r="AP30" s="450" t="str">
        <f>IF(AND('Mapa final'!$K$34="Alta",'Mapa final'!$O$34="Mayor"),CONCATENATE("R",'Mapa final'!$A$34),"")</f>
        <v/>
      </c>
      <c r="AQ30" s="450"/>
      <c r="AR30" s="450" t="str">
        <f>IF(AND('Mapa final'!$K$37="Alta",'Mapa final'!$O$37="Mayor"),CONCATENATE("R",'Mapa final'!$A$37),"")</f>
        <v/>
      </c>
      <c r="AS30" s="450"/>
      <c r="AT30" s="450" t="str">
        <f>IF(AND('Mapa final'!$K$40="Alta",'Mapa final'!$O$40="Mayor"),CONCATENATE("R",'Mapa final'!$A$40),"")</f>
        <v/>
      </c>
      <c r="AU30" s="450"/>
      <c r="AV30" s="450" t="str">
        <f>IF(AND('Mapa final'!$K$43="Alta",'Mapa final'!$O$43="Mayor"),CONCATENATE("R",'Mapa final'!$A$43),"")</f>
        <v/>
      </c>
      <c r="AW30" s="490"/>
      <c r="AX30" s="482" t="str">
        <f>IF(AND('Mapa final'!$K$31="Alta",'Mapa final'!$O$31="Catastrófico"),CONCATENATE("R",'Mapa final'!$A$31),"")</f>
        <v/>
      </c>
      <c r="AY30" s="480"/>
      <c r="AZ30" s="480" t="str">
        <f>IF(AND('Mapa final'!$K$34="Alta",'Mapa final'!$O$34="Catastrófico"),CONCATENATE("R",'Mapa final'!$A$34),"")</f>
        <v/>
      </c>
      <c r="BA30" s="480"/>
      <c r="BB30" s="480" t="str">
        <f>IF(AND('Mapa final'!$K$37="Alta",'Mapa final'!$O$37="Catastrófico"),CONCATENATE("R",'Mapa final'!$A$37),"")</f>
        <v/>
      </c>
      <c r="BC30" s="480"/>
      <c r="BD30" s="480" t="str">
        <f>IF(AND('Mapa final'!$K$40="Alta",'Mapa final'!$O$40="Catastrófico"),CONCATENATE("R",'Mapa final'!$A$40),"")</f>
        <v/>
      </c>
      <c r="BE30" s="480"/>
      <c r="BF30" s="480" t="str">
        <f>IF(AND('Mapa final'!$K$43="Alta",'Mapa final'!$O$43="Catastrófico"),CONCATENATE("R",'Mapa final'!$A$43),"")</f>
        <v/>
      </c>
      <c r="BG30" s="481"/>
      <c r="BH30" s="56"/>
      <c r="BI30" s="504"/>
      <c r="BJ30" s="505"/>
      <c r="BK30" s="505"/>
      <c r="BL30" s="505"/>
      <c r="BM30" s="505"/>
      <c r="BN30" s="50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row>
    <row r="31" spans="1:100" ht="15" customHeight="1" x14ac:dyDescent="0.35">
      <c r="A31" s="56"/>
      <c r="B31" s="307"/>
      <c r="C31" s="307"/>
      <c r="D31" s="308"/>
      <c r="E31" s="468"/>
      <c r="F31" s="469"/>
      <c r="G31" s="469"/>
      <c r="H31" s="469"/>
      <c r="I31" s="474"/>
      <c r="J31" s="457"/>
      <c r="K31" s="458"/>
      <c r="L31" s="458"/>
      <c r="M31" s="458"/>
      <c r="N31" s="458"/>
      <c r="O31" s="458"/>
      <c r="P31" s="458"/>
      <c r="Q31" s="458"/>
      <c r="R31" s="458"/>
      <c r="S31" s="461"/>
      <c r="T31" s="457"/>
      <c r="U31" s="458"/>
      <c r="V31" s="458"/>
      <c r="W31" s="458"/>
      <c r="X31" s="458"/>
      <c r="Y31" s="458"/>
      <c r="Z31" s="458"/>
      <c r="AA31" s="458"/>
      <c r="AB31" s="458"/>
      <c r="AC31" s="461"/>
      <c r="AD31" s="491"/>
      <c r="AE31" s="450"/>
      <c r="AF31" s="450"/>
      <c r="AG31" s="450"/>
      <c r="AH31" s="450"/>
      <c r="AI31" s="450"/>
      <c r="AJ31" s="450"/>
      <c r="AK31" s="450"/>
      <c r="AL31" s="450"/>
      <c r="AM31" s="490"/>
      <c r="AN31" s="491"/>
      <c r="AO31" s="450"/>
      <c r="AP31" s="450"/>
      <c r="AQ31" s="450"/>
      <c r="AR31" s="450"/>
      <c r="AS31" s="450"/>
      <c r="AT31" s="450"/>
      <c r="AU31" s="450"/>
      <c r="AV31" s="450"/>
      <c r="AW31" s="490"/>
      <c r="AX31" s="482"/>
      <c r="AY31" s="480"/>
      <c r="AZ31" s="480"/>
      <c r="BA31" s="480"/>
      <c r="BB31" s="480"/>
      <c r="BC31" s="480"/>
      <c r="BD31" s="480"/>
      <c r="BE31" s="480"/>
      <c r="BF31" s="480"/>
      <c r="BG31" s="481"/>
      <c r="BH31" s="56"/>
      <c r="BI31" s="504"/>
      <c r="BJ31" s="505"/>
      <c r="BK31" s="505"/>
      <c r="BL31" s="505"/>
      <c r="BM31" s="505"/>
      <c r="BN31" s="50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row>
    <row r="32" spans="1:100" ht="15" customHeight="1" x14ac:dyDescent="0.35">
      <c r="A32" s="56"/>
      <c r="B32" s="307"/>
      <c r="C32" s="307"/>
      <c r="D32" s="308"/>
      <c r="E32" s="468"/>
      <c r="F32" s="469"/>
      <c r="G32" s="469"/>
      <c r="H32" s="469"/>
      <c r="I32" s="474"/>
      <c r="J32" s="457" t="str">
        <f>IF(AND('Mapa final'!$K$46="Alta",'Mapa final'!$O$46="Leve"),CONCATENATE("R",'Mapa final'!$A$46),"")</f>
        <v/>
      </c>
      <c r="K32" s="458"/>
      <c r="L32" s="458" t="str">
        <f>IF(AND('Mapa final'!$K$49="Alta",'Mapa final'!$O$49="Leve"),CONCATENATE("R",'Mapa final'!$A$49),"")</f>
        <v/>
      </c>
      <c r="M32" s="458"/>
      <c r="N32" s="458" t="str">
        <f>IF(AND('Mapa final'!$K$52="Alta",'Mapa final'!$O$52="Leve"),CONCATENATE("R",'Mapa final'!$A$52),"")</f>
        <v/>
      </c>
      <c r="O32" s="458"/>
      <c r="P32" s="458" t="str">
        <f>IF(AND('Mapa final'!$K$55="Alta",'Mapa final'!$O$55="Leve"),CONCATENATE("R",'Mapa final'!$A$55),"")</f>
        <v/>
      </c>
      <c r="Q32" s="458"/>
      <c r="R32" s="458" t="str">
        <f>IF(AND('Mapa final'!$K$58="Alta",'Mapa final'!$O$58="Leve"),CONCATENATE("R",'Mapa final'!$A$58),"")</f>
        <v/>
      </c>
      <c r="S32" s="461"/>
      <c r="T32" s="457" t="str">
        <f>IF(AND('Mapa final'!$K$46="Alta",'Mapa final'!$O$46="Menor"),CONCATENATE("R",'Mapa final'!$A$46),"")</f>
        <v/>
      </c>
      <c r="U32" s="458"/>
      <c r="V32" s="458" t="str">
        <f>IF(AND('Mapa final'!$K$49="Alta",'Mapa final'!$O$49="Menor"),CONCATENATE("R",'Mapa final'!$A$49),"")</f>
        <v/>
      </c>
      <c r="W32" s="458"/>
      <c r="X32" s="458" t="str">
        <f>IF(AND('Mapa final'!$K$52="Alta",'Mapa final'!$O$52="Menor"),CONCATENATE("R",'Mapa final'!$A$52),"")</f>
        <v/>
      </c>
      <c r="Y32" s="458"/>
      <c r="Z32" s="458" t="str">
        <f>IF(AND('Mapa final'!$K$55="Alta",'Mapa final'!$O$55="Menor"),CONCATENATE("R",'Mapa final'!$A$55),"")</f>
        <v/>
      </c>
      <c r="AA32" s="458"/>
      <c r="AB32" s="458" t="str">
        <f>IF(AND('Mapa final'!$K$58="Alta",'Mapa final'!$O$58="Menor"),CONCATENATE("R",'Mapa final'!$A$58),"")</f>
        <v/>
      </c>
      <c r="AC32" s="461"/>
      <c r="AD32" s="491" t="str">
        <f>IF(AND('Mapa final'!$K$46="Alta",'Mapa final'!$O$46="Moderado"),CONCATENATE("R",'Mapa final'!$A$46),"")</f>
        <v/>
      </c>
      <c r="AE32" s="450"/>
      <c r="AF32" s="450" t="str">
        <f>IF(AND('Mapa final'!$K$49="Alta",'Mapa final'!$O$49="Moderado"),CONCATENATE("R",'Mapa final'!$A$49),"")</f>
        <v/>
      </c>
      <c r="AG32" s="450"/>
      <c r="AH32" s="450" t="str">
        <f>IF(AND('Mapa final'!$K$52="Alta",'Mapa final'!$O$52="Moderado"),CONCATENATE("R",'Mapa final'!$A$52),"")</f>
        <v/>
      </c>
      <c r="AI32" s="450"/>
      <c r="AJ32" s="450" t="str">
        <f>IF(AND('Mapa final'!$K$55="Alta",'Mapa final'!$O$55="Moderado"),CONCATENATE("R",'Mapa final'!$A$55),"")</f>
        <v/>
      </c>
      <c r="AK32" s="450"/>
      <c r="AL32" s="450" t="str">
        <f>IF(AND('Mapa final'!$K$58="Alta",'Mapa final'!$O$58="Moderado"),CONCATENATE("R",'Mapa final'!$A$58),"")</f>
        <v/>
      </c>
      <c r="AM32" s="490"/>
      <c r="AN32" s="491" t="str">
        <f>IF(AND('Mapa final'!$K$46="Alta",'Mapa final'!$O$46="Mayor"),CONCATENATE("R",'Mapa final'!$A$46),"")</f>
        <v/>
      </c>
      <c r="AO32" s="450"/>
      <c r="AP32" s="450" t="str">
        <f>IF(AND('Mapa final'!$K$49="Alta",'Mapa final'!$O$49="Mayor"),CONCATENATE("R",'Mapa final'!$A$49),"")</f>
        <v/>
      </c>
      <c r="AQ32" s="450"/>
      <c r="AR32" s="450" t="str">
        <f>IF(AND('Mapa final'!$K$52="Alta",'Mapa final'!$O$52="Mayor"),CONCATENATE("R",'Mapa final'!$A$52),"")</f>
        <v/>
      </c>
      <c r="AS32" s="450"/>
      <c r="AT32" s="450" t="str">
        <f>IF(AND('Mapa final'!$K$55="Alta",'Mapa final'!$O$55="Mayor"),CONCATENATE("R",'Mapa final'!$A$55),"")</f>
        <v/>
      </c>
      <c r="AU32" s="450"/>
      <c r="AV32" s="450" t="str">
        <f>IF(AND('Mapa final'!$K$58="Alta",'Mapa final'!$O$58="Mayor"),CONCATENATE("R",'Mapa final'!$A$58),"")</f>
        <v/>
      </c>
      <c r="AW32" s="490"/>
      <c r="AX32" s="482" t="str">
        <f>IF(AND('Mapa final'!$K$46="Alta",'Mapa final'!$O$46="Catastrófico"),CONCATENATE("R",'Mapa final'!$A$46),"")</f>
        <v/>
      </c>
      <c r="AY32" s="480"/>
      <c r="AZ32" s="480" t="str">
        <f>IF(AND('Mapa final'!$K$49="Alta",'Mapa final'!$O$49="Catastrófico"),CONCATENATE("R",'Mapa final'!$A$49),"")</f>
        <v/>
      </c>
      <c r="BA32" s="480"/>
      <c r="BB32" s="480" t="str">
        <f>IF(AND('Mapa final'!$K$52="Alta",'Mapa final'!$O$52="Catastrófico"),CONCATENATE("R",'Mapa final'!$A$52),"")</f>
        <v/>
      </c>
      <c r="BC32" s="480"/>
      <c r="BD32" s="480" t="str">
        <f>IF(AND('Mapa final'!$K$55="Alta",'Mapa final'!$O$55="Catastrófico"),CONCATENATE("R",'Mapa final'!$A$55),"")</f>
        <v/>
      </c>
      <c r="BE32" s="480"/>
      <c r="BF32" s="480" t="str">
        <f>IF(AND('Mapa final'!$K$58="Alta",'Mapa final'!$O$58="Catastrófico"),CONCATENATE("R",'Mapa final'!$A$58),"")</f>
        <v/>
      </c>
      <c r="BG32" s="481"/>
      <c r="BH32" s="56"/>
      <c r="BI32" s="504"/>
      <c r="BJ32" s="505"/>
      <c r="BK32" s="505"/>
      <c r="BL32" s="505"/>
      <c r="BM32" s="505"/>
      <c r="BN32" s="50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row>
    <row r="33" spans="1:100" ht="15" customHeight="1" thickBot="1" x14ac:dyDescent="0.4">
      <c r="A33" s="56"/>
      <c r="B33" s="307"/>
      <c r="C33" s="307"/>
      <c r="D33" s="308"/>
      <c r="E33" s="468"/>
      <c r="F33" s="469"/>
      <c r="G33" s="469"/>
      <c r="H33" s="469"/>
      <c r="I33" s="474"/>
      <c r="J33" s="457"/>
      <c r="K33" s="458"/>
      <c r="L33" s="458"/>
      <c r="M33" s="458"/>
      <c r="N33" s="458"/>
      <c r="O33" s="458"/>
      <c r="P33" s="458"/>
      <c r="Q33" s="458"/>
      <c r="R33" s="458"/>
      <c r="S33" s="461"/>
      <c r="T33" s="457"/>
      <c r="U33" s="458"/>
      <c r="V33" s="458"/>
      <c r="W33" s="458"/>
      <c r="X33" s="458"/>
      <c r="Y33" s="458"/>
      <c r="Z33" s="458"/>
      <c r="AA33" s="458"/>
      <c r="AB33" s="458"/>
      <c r="AC33" s="461"/>
      <c r="AD33" s="491"/>
      <c r="AE33" s="450"/>
      <c r="AF33" s="450"/>
      <c r="AG33" s="450"/>
      <c r="AH33" s="450"/>
      <c r="AI33" s="450"/>
      <c r="AJ33" s="450"/>
      <c r="AK33" s="450"/>
      <c r="AL33" s="450"/>
      <c r="AM33" s="490"/>
      <c r="AN33" s="491"/>
      <c r="AO33" s="450"/>
      <c r="AP33" s="450"/>
      <c r="AQ33" s="450"/>
      <c r="AR33" s="450"/>
      <c r="AS33" s="450"/>
      <c r="AT33" s="450"/>
      <c r="AU33" s="450"/>
      <c r="AV33" s="450"/>
      <c r="AW33" s="490"/>
      <c r="AX33" s="482"/>
      <c r="AY33" s="480"/>
      <c r="AZ33" s="480"/>
      <c r="BA33" s="480"/>
      <c r="BB33" s="480"/>
      <c r="BC33" s="480"/>
      <c r="BD33" s="480"/>
      <c r="BE33" s="480"/>
      <c r="BF33" s="480"/>
      <c r="BG33" s="481"/>
      <c r="BH33" s="56"/>
      <c r="BI33" s="507"/>
      <c r="BJ33" s="508"/>
      <c r="BK33" s="508"/>
      <c r="BL33" s="508"/>
      <c r="BM33" s="508"/>
      <c r="BN33" s="509"/>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row>
    <row r="34" spans="1:100" ht="15" customHeight="1" x14ac:dyDescent="0.35">
      <c r="A34" s="56"/>
      <c r="B34" s="307"/>
      <c r="C34" s="307"/>
      <c r="D34" s="308"/>
      <c r="E34" s="468"/>
      <c r="F34" s="469"/>
      <c r="G34" s="469"/>
      <c r="H34" s="469"/>
      <c r="I34" s="474"/>
      <c r="J34" s="457" t="str">
        <f>IF(AND('Mapa final'!$K$61="Alta",'Mapa final'!$O$61="Leve"),CONCATENATE("R",'Mapa final'!$A$61),"")</f>
        <v/>
      </c>
      <c r="K34" s="458"/>
      <c r="L34" s="458" t="str">
        <f>IF(AND('Mapa final'!$K$64="Alta",'Mapa final'!$O$64="Leve"),CONCATENATE("R",'Mapa final'!$A$64),"")</f>
        <v/>
      </c>
      <c r="M34" s="458"/>
      <c r="N34" s="458" t="str">
        <f>IF(AND('Mapa final'!$K$70="Alta",'Mapa final'!$O$70="Leve"),CONCATENATE("R",'Mapa final'!$A$70),"")</f>
        <v/>
      </c>
      <c r="O34" s="458"/>
      <c r="P34" s="458" t="str">
        <f>IF(AND('Mapa final'!$K$73="Alta",'Mapa final'!$O$73="Leve"),CONCATENATE("R",'Mapa final'!$A$73),"")</f>
        <v/>
      </c>
      <c r="Q34" s="458"/>
      <c r="R34" s="458" t="str">
        <f>IF(AND('Mapa final'!$K$76="Alta",'Mapa final'!$O$76="Leve"),CONCATENATE("R",'Mapa final'!$A$76),"")</f>
        <v/>
      </c>
      <c r="S34" s="461"/>
      <c r="T34" s="457" t="str">
        <f>IF(AND('Mapa final'!$K$61="Alta",'Mapa final'!$O$61="Menor"),CONCATENATE("R",'Mapa final'!$A$61),"")</f>
        <v/>
      </c>
      <c r="U34" s="458"/>
      <c r="V34" s="458" t="str">
        <f>IF(AND('Mapa final'!$K$64="Alta",'Mapa final'!$O$64="Menor"),CONCATENATE("R",'Mapa final'!$A$64),"")</f>
        <v/>
      </c>
      <c r="W34" s="458"/>
      <c r="X34" s="458" t="str">
        <f>IF(AND('Mapa final'!$K$70="Alta",'Mapa final'!$O$70="Menor"),CONCATENATE("R",'Mapa final'!$A$70),"")</f>
        <v/>
      </c>
      <c r="Y34" s="458"/>
      <c r="Z34" s="458" t="str">
        <f>IF(AND('Mapa final'!$K$73="Alta",'Mapa final'!$O$73="Menor"),CONCATENATE("R",'Mapa final'!$A$73),"")</f>
        <v/>
      </c>
      <c r="AA34" s="458"/>
      <c r="AB34" s="458" t="str">
        <f>IF(AND('Mapa final'!$K$76="Alta",'Mapa final'!$O$76="Menor"),CONCATENATE("R",'Mapa final'!$A$76),"")</f>
        <v/>
      </c>
      <c r="AC34" s="461"/>
      <c r="AD34" s="491" t="str">
        <f>IF(AND('Mapa final'!$K$61="Alta",'Mapa final'!$O$61="Moderado"),CONCATENATE("R",'Mapa final'!$A$61),"")</f>
        <v/>
      </c>
      <c r="AE34" s="450"/>
      <c r="AF34" s="450" t="str">
        <f>IF(AND('Mapa final'!$K$64="Alta",'Mapa final'!$O$64="Moderado"),CONCATENATE("R",'Mapa final'!$A$64),"")</f>
        <v/>
      </c>
      <c r="AG34" s="450"/>
      <c r="AH34" s="450" t="str">
        <f>IF(AND('Mapa final'!$K$70="Alta",'Mapa final'!$O$70="Moderado"),CONCATENATE("R",'Mapa final'!$A$70),"")</f>
        <v/>
      </c>
      <c r="AI34" s="450"/>
      <c r="AJ34" s="450" t="str">
        <f>IF(AND('Mapa final'!$K$73="Alta",'Mapa final'!$O$73="Moderado"),CONCATENATE("R",'Mapa final'!$A$73),"")</f>
        <v/>
      </c>
      <c r="AK34" s="450"/>
      <c r="AL34" s="450" t="str">
        <f>IF(AND('Mapa final'!$K$76="Alta",'Mapa final'!$O$76="Moderado"),CONCATENATE("R",'Mapa final'!$A$76),"")</f>
        <v/>
      </c>
      <c r="AM34" s="490"/>
      <c r="AN34" s="491" t="str">
        <f>IF(AND('Mapa final'!$K$61="Alta",'Mapa final'!$O$61="Mayor"),CONCATENATE("R",'Mapa final'!$A$61),"")</f>
        <v/>
      </c>
      <c r="AO34" s="450"/>
      <c r="AP34" s="450" t="str">
        <f>IF(AND('Mapa final'!$K$64="Alta",'Mapa final'!$O$64="Mayor"),CONCATENATE("R",'Mapa final'!$A$64),"")</f>
        <v/>
      </c>
      <c r="AQ34" s="450"/>
      <c r="AR34" s="450" t="str">
        <f>IF(AND('Mapa final'!$K$70="Alta",'Mapa final'!$O$70="Mayor"),CONCATENATE("R",'Mapa final'!$A$70),"")</f>
        <v/>
      </c>
      <c r="AS34" s="450"/>
      <c r="AT34" s="450" t="str">
        <f>IF(AND('Mapa final'!$K$73="Alta",'Mapa final'!$O$73="Mayor"),CONCATENATE("R",'Mapa final'!$A$73),"")</f>
        <v/>
      </c>
      <c r="AU34" s="450"/>
      <c r="AV34" s="450" t="str">
        <f>IF(AND('Mapa final'!$K$76="Alta",'Mapa final'!$O$76="Mayor"),CONCATENATE("R",'Mapa final'!$A$76),"")</f>
        <v/>
      </c>
      <c r="AW34" s="490"/>
      <c r="AX34" s="482" t="str">
        <f>IF(AND('Mapa final'!$K$61="Alta",'Mapa final'!$O$61="Catastrófico"),CONCATENATE("R",'Mapa final'!$A$61),"")</f>
        <v/>
      </c>
      <c r="AY34" s="480"/>
      <c r="AZ34" s="480" t="str">
        <f>IF(AND('Mapa final'!$K$64="Alta",'Mapa final'!$O$64="Catastrófico"),CONCATENATE("R",'Mapa final'!$A$64),"")</f>
        <v/>
      </c>
      <c r="BA34" s="480"/>
      <c r="BB34" s="480" t="str">
        <f>IF(AND('Mapa final'!$K$70="Alta",'Mapa final'!$O$70="Catastrófico"),CONCATENATE("R",'Mapa final'!$A$70),"")</f>
        <v/>
      </c>
      <c r="BC34" s="480"/>
      <c r="BD34" s="480" t="str">
        <f>IF(AND('Mapa final'!$K$73="Alta",'Mapa final'!$O$73="Catastrófico"),CONCATENATE("R",'Mapa final'!$A$73),"")</f>
        <v/>
      </c>
      <c r="BE34" s="480"/>
      <c r="BF34" s="480" t="str">
        <f>IF(AND('Mapa final'!$K$76="Alta",'Mapa final'!$O$76="Catastrófico"),CONCATENATE("R",'Mapa final'!$A$76),"")</f>
        <v/>
      </c>
      <c r="BG34" s="481"/>
      <c r="BH34" s="56"/>
      <c r="BI34" s="510" t="s">
        <v>74</v>
      </c>
      <c r="BJ34" s="511"/>
      <c r="BK34" s="511"/>
      <c r="BL34" s="511"/>
      <c r="BM34" s="511"/>
      <c r="BN34" s="512"/>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row>
    <row r="35" spans="1:100" ht="15" customHeight="1" x14ac:dyDescent="0.35">
      <c r="A35" s="56"/>
      <c r="B35" s="307"/>
      <c r="C35" s="307"/>
      <c r="D35" s="308"/>
      <c r="E35" s="468"/>
      <c r="F35" s="469"/>
      <c r="G35" s="469"/>
      <c r="H35" s="469"/>
      <c r="I35" s="474"/>
      <c r="J35" s="457"/>
      <c r="K35" s="458"/>
      <c r="L35" s="458"/>
      <c r="M35" s="458"/>
      <c r="N35" s="458"/>
      <c r="O35" s="458"/>
      <c r="P35" s="458"/>
      <c r="Q35" s="458"/>
      <c r="R35" s="458"/>
      <c r="S35" s="461"/>
      <c r="T35" s="457"/>
      <c r="U35" s="458"/>
      <c r="V35" s="458"/>
      <c r="W35" s="458"/>
      <c r="X35" s="458"/>
      <c r="Y35" s="458"/>
      <c r="Z35" s="458"/>
      <c r="AA35" s="458"/>
      <c r="AB35" s="458"/>
      <c r="AC35" s="461"/>
      <c r="AD35" s="491"/>
      <c r="AE35" s="450"/>
      <c r="AF35" s="450"/>
      <c r="AG35" s="450"/>
      <c r="AH35" s="450"/>
      <c r="AI35" s="450"/>
      <c r="AJ35" s="450"/>
      <c r="AK35" s="450"/>
      <c r="AL35" s="450"/>
      <c r="AM35" s="490"/>
      <c r="AN35" s="491"/>
      <c r="AO35" s="450"/>
      <c r="AP35" s="450"/>
      <c r="AQ35" s="450"/>
      <c r="AR35" s="450"/>
      <c r="AS35" s="450"/>
      <c r="AT35" s="450"/>
      <c r="AU35" s="450"/>
      <c r="AV35" s="450"/>
      <c r="AW35" s="490"/>
      <c r="AX35" s="482"/>
      <c r="AY35" s="480"/>
      <c r="AZ35" s="480"/>
      <c r="BA35" s="480"/>
      <c r="BB35" s="480"/>
      <c r="BC35" s="480"/>
      <c r="BD35" s="480"/>
      <c r="BE35" s="480"/>
      <c r="BF35" s="480"/>
      <c r="BG35" s="481"/>
      <c r="BH35" s="56"/>
      <c r="BI35" s="513"/>
      <c r="BJ35" s="514"/>
      <c r="BK35" s="514"/>
      <c r="BL35" s="514"/>
      <c r="BM35" s="514"/>
      <c r="BN35" s="515"/>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row>
    <row r="36" spans="1:100" ht="15" customHeight="1" x14ac:dyDescent="0.35">
      <c r="A36" s="56"/>
      <c r="B36" s="307"/>
      <c r="C36" s="307"/>
      <c r="D36" s="308"/>
      <c r="E36" s="468"/>
      <c r="F36" s="469"/>
      <c r="G36" s="469"/>
      <c r="H36" s="469"/>
      <c r="I36" s="474"/>
      <c r="J36" s="457" t="str">
        <f>IF(AND('Mapa final'!$K$79="Alta",'Mapa final'!$O$79="Leve"),CONCATENATE("R",'Mapa final'!$A$79),"")</f>
        <v/>
      </c>
      <c r="K36" s="458"/>
      <c r="L36" s="458" t="str">
        <f>IF(AND('Mapa final'!$K$82="Alta",'Mapa final'!$O$82="Leve"),CONCATENATE("R",'Mapa final'!$A$82),"")</f>
        <v/>
      </c>
      <c r="M36" s="458"/>
      <c r="N36" s="458" t="str">
        <f>IF(AND('Mapa final'!$K$85="Alta",'Mapa final'!$O$85="Leve"),CONCATENATE("R",'Mapa final'!$A$85),"")</f>
        <v/>
      </c>
      <c r="O36" s="458"/>
      <c r="P36" s="458" t="str">
        <f>IF(AND('Mapa final'!$K$88="Alta",'Mapa final'!$O$88="Leve"),CONCATENATE("R",'Mapa final'!$A$88),"")</f>
        <v/>
      </c>
      <c r="Q36" s="458"/>
      <c r="R36" s="458" t="str">
        <f>IF(AND('Mapa final'!$K$91="Alta",'Mapa final'!$O$91="Leve"),CONCATENATE("R",'Mapa final'!$A$91),"")</f>
        <v/>
      </c>
      <c r="S36" s="461"/>
      <c r="T36" s="457" t="str">
        <f>IF(AND('Mapa final'!$K$79="Alta",'Mapa final'!$O$79="Menor"),CONCATENATE("R",'Mapa final'!$A$79),"")</f>
        <v/>
      </c>
      <c r="U36" s="458"/>
      <c r="V36" s="458" t="str">
        <f>IF(AND('Mapa final'!$K$82="Alta",'Mapa final'!$O$82="Menor"),CONCATENATE("R",'Mapa final'!$A$82),"")</f>
        <v/>
      </c>
      <c r="W36" s="458"/>
      <c r="X36" s="458" t="str">
        <f>IF(AND('Mapa final'!$K$85="Alta",'Mapa final'!$O$85="Menor"),CONCATENATE("R",'Mapa final'!$A$85),"")</f>
        <v/>
      </c>
      <c r="Y36" s="458"/>
      <c r="Z36" s="458" t="str">
        <f>IF(AND('Mapa final'!$K$88="Alta",'Mapa final'!$O$88="Menor"),CONCATENATE("R",'Mapa final'!$A$88),"")</f>
        <v/>
      </c>
      <c r="AA36" s="458"/>
      <c r="AB36" s="458" t="str">
        <f>IF(AND('Mapa final'!$K$91="Alta",'Mapa final'!$O$91="Menor"),CONCATENATE("R",'Mapa final'!$A$91),"")</f>
        <v/>
      </c>
      <c r="AC36" s="461"/>
      <c r="AD36" s="491" t="str">
        <f>IF(AND('Mapa final'!$K$79="Alta",'Mapa final'!$O$79="Moderado"),CONCATENATE("R",'Mapa final'!$A$79),"")</f>
        <v/>
      </c>
      <c r="AE36" s="450"/>
      <c r="AF36" s="450" t="str">
        <f>IF(AND('Mapa final'!$K$82="Alta",'Mapa final'!$O$82="Moderado"),CONCATENATE("R",'Mapa final'!$A$82),"")</f>
        <v/>
      </c>
      <c r="AG36" s="450"/>
      <c r="AH36" s="450" t="str">
        <f>IF(AND('Mapa final'!$K$85="Alta",'Mapa final'!$O$85="Moderado"),CONCATENATE("R",'Mapa final'!$A$85),"")</f>
        <v/>
      </c>
      <c r="AI36" s="450"/>
      <c r="AJ36" s="450" t="str">
        <f>IF(AND('Mapa final'!$K$88="Alta",'Mapa final'!$O$88="Moderado"),CONCATENATE("R",'Mapa final'!$A$88),"")</f>
        <v/>
      </c>
      <c r="AK36" s="450"/>
      <c r="AL36" s="450" t="str">
        <f>IF(AND('Mapa final'!$K$91="Alta",'Mapa final'!$O$91="Moderado"),CONCATENATE("R",'Mapa final'!$A$91),"")</f>
        <v/>
      </c>
      <c r="AM36" s="490"/>
      <c r="AN36" s="491" t="str">
        <f>IF(AND('Mapa final'!$K$79="Alta",'Mapa final'!$O$79="Mayor"),CONCATENATE("R",'Mapa final'!$A$79),"")</f>
        <v/>
      </c>
      <c r="AO36" s="450"/>
      <c r="AP36" s="450" t="str">
        <f>IF(AND('Mapa final'!$K$82="Alta",'Mapa final'!$O$82="Mayor"),CONCATENATE("R",'Mapa final'!$A$82),"")</f>
        <v/>
      </c>
      <c r="AQ36" s="450"/>
      <c r="AR36" s="450" t="str">
        <f>IF(AND('Mapa final'!$K$85="Alta",'Mapa final'!$O$85="Mayor"),CONCATENATE("R",'Mapa final'!$A$85),"")</f>
        <v/>
      </c>
      <c r="AS36" s="450"/>
      <c r="AT36" s="450" t="str">
        <f>IF(AND('Mapa final'!$K$88="Alta",'Mapa final'!$O$88="Mayor"),CONCATENATE("R",'Mapa final'!$A$88),"")</f>
        <v/>
      </c>
      <c r="AU36" s="450"/>
      <c r="AV36" s="450" t="str">
        <f>IF(AND('Mapa final'!$K$91="Alta",'Mapa final'!$O$91="Mayor"),CONCATENATE("R",'Mapa final'!$A$91),"")</f>
        <v>R30</v>
      </c>
      <c r="AW36" s="490"/>
      <c r="AX36" s="482" t="str">
        <f>IF(AND('Mapa final'!$K$79="Alta",'Mapa final'!$O$79="Catastrófico"),CONCATENATE("R",'Mapa final'!$A$79),"")</f>
        <v/>
      </c>
      <c r="AY36" s="480"/>
      <c r="AZ36" s="480" t="str">
        <f>IF(AND('Mapa final'!$K$82="Alta",'Mapa final'!$O$82="Catastrófico"),CONCATENATE("R",'Mapa final'!$A$82),"")</f>
        <v/>
      </c>
      <c r="BA36" s="480"/>
      <c r="BB36" s="480" t="str">
        <f>IF(AND('Mapa final'!$K$85="Alta",'Mapa final'!$O$85="Catastrófico"),CONCATENATE("R",'Mapa final'!$A$85),"")</f>
        <v/>
      </c>
      <c r="BC36" s="480"/>
      <c r="BD36" s="480" t="str">
        <f>IF(AND('Mapa final'!$K$88="Alta",'Mapa final'!$O$88="Catastrófico"),CONCATENATE("R",'Mapa final'!$A$88),"")</f>
        <v/>
      </c>
      <c r="BE36" s="480"/>
      <c r="BF36" s="480" t="str">
        <f>IF(AND('Mapa final'!$K$91="Alta",'Mapa final'!$O$91="Catastrófico"),CONCATENATE("R",'Mapa final'!$A$91),"")</f>
        <v/>
      </c>
      <c r="BG36" s="481"/>
      <c r="BH36" s="56"/>
      <c r="BI36" s="513"/>
      <c r="BJ36" s="514"/>
      <c r="BK36" s="514"/>
      <c r="BL36" s="514"/>
      <c r="BM36" s="514"/>
      <c r="BN36" s="515"/>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row>
    <row r="37" spans="1:100" ht="15" customHeight="1" x14ac:dyDescent="0.35">
      <c r="A37" s="56"/>
      <c r="B37" s="307"/>
      <c r="C37" s="307"/>
      <c r="D37" s="308"/>
      <c r="E37" s="468"/>
      <c r="F37" s="469"/>
      <c r="G37" s="469"/>
      <c r="H37" s="469"/>
      <c r="I37" s="474"/>
      <c r="J37" s="457"/>
      <c r="K37" s="458"/>
      <c r="L37" s="458"/>
      <c r="M37" s="458"/>
      <c r="N37" s="458"/>
      <c r="O37" s="458"/>
      <c r="P37" s="458"/>
      <c r="Q37" s="458"/>
      <c r="R37" s="458"/>
      <c r="S37" s="461"/>
      <c r="T37" s="457"/>
      <c r="U37" s="458"/>
      <c r="V37" s="458"/>
      <c r="W37" s="458"/>
      <c r="X37" s="458"/>
      <c r="Y37" s="458"/>
      <c r="Z37" s="458"/>
      <c r="AA37" s="458"/>
      <c r="AB37" s="458"/>
      <c r="AC37" s="461"/>
      <c r="AD37" s="491"/>
      <c r="AE37" s="450"/>
      <c r="AF37" s="450"/>
      <c r="AG37" s="450"/>
      <c r="AH37" s="450"/>
      <c r="AI37" s="450"/>
      <c r="AJ37" s="450"/>
      <c r="AK37" s="450"/>
      <c r="AL37" s="450"/>
      <c r="AM37" s="490"/>
      <c r="AN37" s="491"/>
      <c r="AO37" s="450"/>
      <c r="AP37" s="450"/>
      <c r="AQ37" s="450"/>
      <c r="AR37" s="450"/>
      <c r="AS37" s="450"/>
      <c r="AT37" s="450"/>
      <c r="AU37" s="450"/>
      <c r="AV37" s="450"/>
      <c r="AW37" s="490"/>
      <c r="AX37" s="482"/>
      <c r="AY37" s="480"/>
      <c r="AZ37" s="480"/>
      <c r="BA37" s="480"/>
      <c r="BB37" s="480"/>
      <c r="BC37" s="480"/>
      <c r="BD37" s="480"/>
      <c r="BE37" s="480"/>
      <c r="BF37" s="480"/>
      <c r="BG37" s="481"/>
      <c r="BH37" s="56"/>
      <c r="BI37" s="513"/>
      <c r="BJ37" s="514"/>
      <c r="BK37" s="514"/>
      <c r="BL37" s="514"/>
      <c r="BM37" s="514"/>
      <c r="BN37" s="515"/>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row>
    <row r="38" spans="1:100" ht="15" customHeight="1" x14ac:dyDescent="0.35">
      <c r="A38" s="56"/>
      <c r="B38" s="307"/>
      <c r="C38" s="307"/>
      <c r="D38" s="308"/>
      <c r="E38" s="468"/>
      <c r="F38" s="469"/>
      <c r="G38" s="469"/>
      <c r="H38" s="469"/>
      <c r="I38" s="474"/>
      <c r="J38" s="457" t="str">
        <f>IF(AND('Mapa final'!$K$94="Alta",'Mapa final'!$O$94="Leve"),CONCATENATE("R",'Mapa final'!$A$94),"")</f>
        <v/>
      </c>
      <c r="K38" s="458"/>
      <c r="L38" s="458" t="e">
        <f>IF(AND('Mapa final'!#REF!="Alta",'Mapa final'!#REF!="Leve"),CONCATENATE("R",'Mapa final'!#REF!),"")</f>
        <v>#REF!</v>
      </c>
      <c r="M38" s="458"/>
      <c r="N38" s="458" t="str">
        <f>IF(AND('Mapa final'!$K$97="Alta",'Mapa final'!$O$97="Leve"),CONCATENATE("R",'Mapa final'!$A$97),"")</f>
        <v/>
      </c>
      <c r="O38" s="458"/>
      <c r="P38" s="458" t="str">
        <f>IF(AND('Mapa final'!$K$100="Alta",'Mapa final'!$O$100="Leve"),CONCATENATE("R",'Mapa final'!$A$100),"")</f>
        <v/>
      </c>
      <c r="Q38" s="458"/>
      <c r="R38" s="458" t="str">
        <f>IF(AND('Mapa final'!$K$103="Alta",'Mapa final'!$O$103="Leve"),CONCATENATE("R",'Mapa final'!$A$103),"")</f>
        <v/>
      </c>
      <c r="S38" s="461"/>
      <c r="T38" s="457" t="str">
        <f>IF(AND('Mapa final'!$K$94="Alta",'Mapa final'!$O$94="Menor"),CONCATENATE("R",'Mapa final'!$A$94),"")</f>
        <v/>
      </c>
      <c r="U38" s="458"/>
      <c r="V38" s="458" t="e">
        <f>IF(AND('Mapa final'!#REF!="Alta",'Mapa final'!#REF!="Menor"),CONCATENATE("R",'Mapa final'!#REF!),"")</f>
        <v>#REF!</v>
      </c>
      <c r="W38" s="458"/>
      <c r="X38" s="458" t="str">
        <f>IF(AND('Mapa final'!$K$97="Alta",'Mapa final'!$O$97="Menor"),CONCATENATE("R",'Mapa final'!$A$97),"")</f>
        <v/>
      </c>
      <c r="Y38" s="458"/>
      <c r="Z38" s="458" t="str">
        <f>IF(AND('Mapa final'!$K$100="Alta",'Mapa final'!$O$100="Menor"),CONCATENATE("R",'Mapa final'!$A$100),"")</f>
        <v/>
      </c>
      <c r="AA38" s="458"/>
      <c r="AB38" s="458" t="str">
        <f>IF(AND('Mapa final'!$K$103="Alta",'Mapa final'!$O$103="Menor"),CONCATENATE("R",'Mapa final'!$A$103),"")</f>
        <v/>
      </c>
      <c r="AC38" s="461"/>
      <c r="AD38" s="491" t="str">
        <f>IF(AND('Mapa final'!$K$94="Alta",'Mapa final'!$O$94="Moderado"),CONCATENATE("R",'Mapa final'!$A$94),"")</f>
        <v/>
      </c>
      <c r="AE38" s="450"/>
      <c r="AF38" s="450" t="e">
        <f>IF(AND('Mapa final'!#REF!="Alta",'Mapa final'!#REF!="Moderado"),CONCATENATE("R",'Mapa final'!#REF!),"")</f>
        <v>#REF!</v>
      </c>
      <c r="AG38" s="450"/>
      <c r="AH38" s="450" t="str">
        <f>IF(AND('Mapa final'!$K$97="Alta",'Mapa final'!$O$97="Moderado"),CONCATENATE("R",'Mapa final'!$A$97),"")</f>
        <v>R32</v>
      </c>
      <c r="AI38" s="450"/>
      <c r="AJ38" s="450" t="str">
        <f>IF(AND('Mapa final'!$K$100="Alta",'Mapa final'!$O$100="Moderado"),CONCATENATE("R",'Mapa final'!$A$100),"")</f>
        <v/>
      </c>
      <c r="AK38" s="450"/>
      <c r="AL38" s="450" t="str">
        <f>IF(AND('Mapa final'!$K$103="Alta",'Mapa final'!$O$103="Moderado"),CONCATENATE("R",'Mapa final'!$A$103),"")</f>
        <v/>
      </c>
      <c r="AM38" s="490"/>
      <c r="AN38" s="491" t="str">
        <f>IF(AND('Mapa final'!$K$94="Alta",'Mapa final'!$O$94="Mayor"),CONCATENATE("R",'Mapa final'!$A$94),"")</f>
        <v/>
      </c>
      <c r="AO38" s="450"/>
      <c r="AP38" s="450" t="e">
        <f>IF(AND('Mapa final'!#REF!="Alta",'Mapa final'!#REF!="Mayor"),CONCATENATE("R",'Mapa final'!#REF!),"")</f>
        <v>#REF!</v>
      </c>
      <c r="AQ38" s="450"/>
      <c r="AR38" s="450" t="str">
        <f>IF(AND('Mapa final'!$K$97="Alta",'Mapa final'!$O$97="Mayor"),CONCATENATE("R",'Mapa final'!$A$97),"")</f>
        <v/>
      </c>
      <c r="AS38" s="450"/>
      <c r="AT38" s="450" t="str">
        <f>IF(AND('Mapa final'!$K$100="Alta",'Mapa final'!$O$100="Mayor"),CONCATENATE("R",'Mapa final'!$A$100),"")</f>
        <v/>
      </c>
      <c r="AU38" s="450"/>
      <c r="AV38" s="450" t="str">
        <f>IF(AND('Mapa final'!$K$103="Alta",'Mapa final'!$O$103="Mayor"),CONCATENATE("R",'Mapa final'!$A$103),"")</f>
        <v/>
      </c>
      <c r="AW38" s="490"/>
      <c r="AX38" s="482" t="str">
        <f>IF(AND('Mapa final'!$K$94="Alta",'Mapa final'!$O$94="Catastrófico"),CONCATENATE("R",'Mapa final'!$A$94),"")</f>
        <v/>
      </c>
      <c r="AY38" s="480"/>
      <c r="AZ38" s="480" t="e">
        <f>IF(AND('Mapa final'!#REF!="Alta",'Mapa final'!#REF!="Catastrófico"),CONCATENATE("R",'Mapa final'!#REF!),"")</f>
        <v>#REF!</v>
      </c>
      <c r="BA38" s="480"/>
      <c r="BB38" s="480" t="str">
        <f>IF(AND('Mapa final'!$K$97="Alta",'Mapa final'!$O$97="Catastrófico"),CONCATENATE("R",'Mapa final'!$A$97),"")</f>
        <v/>
      </c>
      <c r="BC38" s="480"/>
      <c r="BD38" s="480" t="str">
        <f>IF(AND('Mapa final'!$K$100="Alta",'Mapa final'!$O$100="Catastrófico"),CONCATENATE("R",'Mapa final'!$A$100),"")</f>
        <v/>
      </c>
      <c r="BE38" s="480"/>
      <c r="BF38" s="480" t="str">
        <f>IF(AND('Mapa final'!$K$103="Alta",'Mapa final'!$O$103="Catastrófico"),CONCATENATE("R",'Mapa final'!$A$103),"")</f>
        <v/>
      </c>
      <c r="BG38" s="481"/>
      <c r="BH38" s="56"/>
      <c r="BI38" s="513"/>
      <c r="BJ38" s="514"/>
      <c r="BK38" s="514"/>
      <c r="BL38" s="514"/>
      <c r="BM38" s="514"/>
      <c r="BN38" s="515"/>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row>
    <row r="39" spans="1:100" ht="15" customHeight="1" x14ac:dyDescent="0.35">
      <c r="A39" s="56"/>
      <c r="B39" s="307"/>
      <c r="C39" s="307"/>
      <c r="D39" s="308"/>
      <c r="E39" s="468"/>
      <c r="F39" s="469"/>
      <c r="G39" s="469"/>
      <c r="H39" s="469"/>
      <c r="I39" s="474"/>
      <c r="J39" s="457"/>
      <c r="K39" s="458"/>
      <c r="L39" s="458"/>
      <c r="M39" s="458"/>
      <c r="N39" s="458"/>
      <c r="O39" s="458"/>
      <c r="P39" s="458"/>
      <c r="Q39" s="458"/>
      <c r="R39" s="458"/>
      <c r="S39" s="461"/>
      <c r="T39" s="457"/>
      <c r="U39" s="458"/>
      <c r="V39" s="458"/>
      <c r="W39" s="458"/>
      <c r="X39" s="458"/>
      <c r="Y39" s="458"/>
      <c r="Z39" s="458"/>
      <c r="AA39" s="458"/>
      <c r="AB39" s="458"/>
      <c r="AC39" s="461"/>
      <c r="AD39" s="491"/>
      <c r="AE39" s="450"/>
      <c r="AF39" s="450"/>
      <c r="AG39" s="450"/>
      <c r="AH39" s="450"/>
      <c r="AI39" s="450"/>
      <c r="AJ39" s="450"/>
      <c r="AK39" s="450"/>
      <c r="AL39" s="450"/>
      <c r="AM39" s="490"/>
      <c r="AN39" s="491"/>
      <c r="AO39" s="450"/>
      <c r="AP39" s="450"/>
      <c r="AQ39" s="450"/>
      <c r="AR39" s="450"/>
      <c r="AS39" s="450"/>
      <c r="AT39" s="450"/>
      <c r="AU39" s="450"/>
      <c r="AV39" s="450"/>
      <c r="AW39" s="490"/>
      <c r="AX39" s="482"/>
      <c r="AY39" s="480"/>
      <c r="AZ39" s="480"/>
      <c r="BA39" s="480"/>
      <c r="BB39" s="480"/>
      <c r="BC39" s="480"/>
      <c r="BD39" s="480"/>
      <c r="BE39" s="480"/>
      <c r="BF39" s="480"/>
      <c r="BG39" s="481"/>
      <c r="BH39" s="56"/>
      <c r="BI39" s="513"/>
      <c r="BJ39" s="514"/>
      <c r="BK39" s="514"/>
      <c r="BL39" s="514"/>
      <c r="BM39" s="514"/>
      <c r="BN39" s="515"/>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row>
    <row r="40" spans="1:100" ht="15" customHeight="1" x14ac:dyDescent="0.35">
      <c r="A40" s="56"/>
      <c r="B40" s="307"/>
      <c r="C40" s="307"/>
      <c r="D40" s="308"/>
      <c r="E40" s="468"/>
      <c r="F40" s="469"/>
      <c r="G40" s="469"/>
      <c r="H40" s="469"/>
      <c r="I40" s="474"/>
      <c r="J40" s="457" t="str">
        <f>IF(AND('Mapa final'!$K$106="Alta",'Mapa final'!$O$106="Leve"),CONCATENATE("R",'Mapa final'!$A$106),"")</f>
        <v/>
      </c>
      <c r="K40" s="458"/>
      <c r="L40" s="458" t="str">
        <f>IF(AND('Mapa final'!$K$109="Alta",'Mapa final'!$O$109="Leve"),CONCATENATE("R",'Mapa final'!$A$109),"")</f>
        <v/>
      </c>
      <c r="M40" s="458"/>
      <c r="N40" s="458" t="str">
        <f>IF(AND('Mapa final'!$K$112="Alta",'Mapa final'!$O$112="Leve"),CONCATENATE("R",'Mapa final'!$A$112),"")</f>
        <v/>
      </c>
      <c r="O40" s="458"/>
      <c r="P40" s="458" t="str">
        <f>IF(AND('Mapa final'!$K$115="Alta",'Mapa final'!$O$115="Leve"),CONCATENATE("R",'Mapa final'!$A$115),"")</f>
        <v/>
      </c>
      <c r="Q40" s="458"/>
      <c r="R40" s="458" t="str">
        <f>IF(AND('Mapa final'!$K$118="Alta",'Mapa final'!$O$118="Leve"),CONCATENATE("R",'Mapa final'!$A$118),"")</f>
        <v/>
      </c>
      <c r="S40" s="461"/>
      <c r="T40" s="457" t="str">
        <f>IF(AND('Mapa final'!$K$106="Alta",'Mapa final'!$O$106="Menor"),CONCATENATE("R",'Mapa final'!$A$106),"")</f>
        <v/>
      </c>
      <c r="U40" s="458"/>
      <c r="V40" s="458" t="str">
        <f>IF(AND('Mapa final'!$K$109="Alta",'Mapa final'!$O$109="Menor"),CONCATENATE("R",'Mapa final'!$A$109),"")</f>
        <v/>
      </c>
      <c r="W40" s="458"/>
      <c r="X40" s="458" t="str">
        <f>IF(AND('Mapa final'!$K$112="Alta",'Mapa final'!$O$112="Menor"),CONCATENATE("R",'Mapa final'!$A$112),"")</f>
        <v/>
      </c>
      <c r="Y40" s="458"/>
      <c r="Z40" s="458" t="str">
        <f>IF(AND('Mapa final'!$K$115="Alta",'Mapa final'!$O$115="Menor"),CONCATENATE("R",'Mapa final'!$A$115),"")</f>
        <v/>
      </c>
      <c r="AA40" s="458"/>
      <c r="AB40" s="458" t="str">
        <f>IF(AND('Mapa final'!$K$118="Alta",'Mapa final'!$O$118="Menor"),CONCATENATE("R",'Mapa final'!$A$118),"")</f>
        <v/>
      </c>
      <c r="AC40" s="461"/>
      <c r="AD40" s="491" t="str">
        <f>IF(AND('Mapa final'!$K$106="Alta",'Mapa final'!$O$106="Moderado"),CONCATENATE("R",'Mapa final'!$A$106),"")</f>
        <v/>
      </c>
      <c r="AE40" s="450"/>
      <c r="AF40" s="450" t="str">
        <f>IF(AND('Mapa final'!$K$109="Alta",'Mapa final'!$O$109="Moderado"),CONCATENATE("R",'Mapa final'!$A$109),"")</f>
        <v/>
      </c>
      <c r="AG40" s="450"/>
      <c r="AH40" s="450" t="str">
        <f>IF(AND('Mapa final'!$K$112="Alta",'Mapa final'!$O$112="Moderado"),CONCATENATE("R",'Mapa final'!$A$112),"")</f>
        <v/>
      </c>
      <c r="AI40" s="450"/>
      <c r="AJ40" s="450" t="str">
        <f>IF(AND('Mapa final'!$K$115="Alta",'Mapa final'!$O$115="Moderado"),CONCATENATE("R",'Mapa final'!$A$115),"")</f>
        <v>R38</v>
      </c>
      <c r="AK40" s="450"/>
      <c r="AL40" s="450" t="str">
        <f>IF(AND('Mapa final'!$K$118="Alta",'Mapa final'!$O$118="Moderado"),CONCATENATE("R",'Mapa final'!$A$118),"")</f>
        <v/>
      </c>
      <c r="AM40" s="490"/>
      <c r="AN40" s="491" t="str">
        <f>IF(AND('Mapa final'!$K$106="Alta",'Mapa final'!$O$106="Mayor"),CONCATENATE("R",'Mapa final'!$A$106),"")</f>
        <v/>
      </c>
      <c r="AO40" s="450"/>
      <c r="AP40" s="450" t="str">
        <f>IF(AND('Mapa final'!$K$109="Alta",'Mapa final'!$O$109="Mayor"),CONCATENATE("R",'Mapa final'!$A$109),"")</f>
        <v/>
      </c>
      <c r="AQ40" s="450"/>
      <c r="AR40" s="450" t="str">
        <f>IF(AND('Mapa final'!$K$112="Alta",'Mapa final'!$O$112="Mayor"),CONCATENATE("R",'Mapa final'!$A$112),"")</f>
        <v/>
      </c>
      <c r="AS40" s="450"/>
      <c r="AT40" s="450" t="str">
        <f>IF(AND('Mapa final'!$K$115="Alta",'Mapa final'!$O$115="Mayor"),CONCATENATE("R",'Mapa final'!$A$115),"")</f>
        <v/>
      </c>
      <c r="AU40" s="450"/>
      <c r="AV40" s="450" t="str">
        <f>IF(AND('Mapa final'!$K$118="Alta",'Mapa final'!$O$118="Mayor"),CONCATENATE("R",'Mapa final'!$A$118),"")</f>
        <v/>
      </c>
      <c r="AW40" s="490"/>
      <c r="AX40" s="482" t="str">
        <f>IF(AND('Mapa final'!$K$106="Alta",'Mapa final'!$O$106="Catastrófico"),CONCATENATE("R",'Mapa final'!$A$106),"")</f>
        <v/>
      </c>
      <c r="AY40" s="480"/>
      <c r="AZ40" s="480" t="str">
        <f>IF(AND('Mapa final'!$K$109="Alta",'Mapa final'!$O$109="Catastrófico"),CONCATENATE("R",'Mapa final'!$A$109),"")</f>
        <v/>
      </c>
      <c r="BA40" s="480"/>
      <c r="BB40" s="480" t="str">
        <f>IF(AND('Mapa final'!$K$112="Alta",'Mapa final'!$O$112="Catastrófico"),CONCATENATE("R",'Mapa final'!$A$112),"")</f>
        <v/>
      </c>
      <c r="BC40" s="480"/>
      <c r="BD40" s="480" t="str">
        <f>IF(AND('Mapa final'!$K$115="Alta",'Mapa final'!$O$115="Catastrófico"),CONCATENATE("R",'Mapa final'!$A$115),"")</f>
        <v/>
      </c>
      <c r="BE40" s="480"/>
      <c r="BF40" s="480" t="str">
        <f>IF(AND('Mapa final'!$K$118="Alta",'Mapa final'!$O$118="Catastrófico"),CONCATENATE("R",'Mapa final'!$A$118),"")</f>
        <v/>
      </c>
      <c r="BG40" s="481"/>
      <c r="BH40" s="56"/>
      <c r="BI40" s="513"/>
      <c r="BJ40" s="514"/>
      <c r="BK40" s="514"/>
      <c r="BL40" s="514"/>
      <c r="BM40" s="514"/>
      <c r="BN40" s="515"/>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row>
    <row r="41" spans="1:100" ht="15" customHeight="1" x14ac:dyDescent="0.35">
      <c r="A41" s="56"/>
      <c r="B41" s="307"/>
      <c r="C41" s="307"/>
      <c r="D41" s="308"/>
      <c r="E41" s="468"/>
      <c r="F41" s="469"/>
      <c r="G41" s="469"/>
      <c r="H41" s="469"/>
      <c r="I41" s="474"/>
      <c r="J41" s="457"/>
      <c r="K41" s="458"/>
      <c r="L41" s="458"/>
      <c r="M41" s="458"/>
      <c r="N41" s="458"/>
      <c r="O41" s="458"/>
      <c r="P41" s="458"/>
      <c r="Q41" s="458"/>
      <c r="R41" s="458"/>
      <c r="S41" s="461"/>
      <c r="T41" s="457"/>
      <c r="U41" s="458"/>
      <c r="V41" s="458"/>
      <c r="W41" s="458"/>
      <c r="X41" s="458"/>
      <c r="Y41" s="458"/>
      <c r="Z41" s="458"/>
      <c r="AA41" s="458"/>
      <c r="AB41" s="458"/>
      <c r="AC41" s="461"/>
      <c r="AD41" s="491"/>
      <c r="AE41" s="450"/>
      <c r="AF41" s="450"/>
      <c r="AG41" s="450"/>
      <c r="AH41" s="450"/>
      <c r="AI41" s="450"/>
      <c r="AJ41" s="450"/>
      <c r="AK41" s="450"/>
      <c r="AL41" s="450"/>
      <c r="AM41" s="490"/>
      <c r="AN41" s="491"/>
      <c r="AO41" s="450"/>
      <c r="AP41" s="450"/>
      <c r="AQ41" s="450"/>
      <c r="AR41" s="450"/>
      <c r="AS41" s="450"/>
      <c r="AT41" s="450"/>
      <c r="AU41" s="450"/>
      <c r="AV41" s="450"/>
      <c r="AW41" s="490"/>
      <c r="AX41" s="482"/>
      <c r="AY41" s="480"/>
      <c r="AZ41" s="480"/>
      <c r="BA41" s="480"/>
      <c r="BB41" s="480"/>
      <c r="BC41" s="480"/>
      <c r="BD41" s="480"/>
      <c r="BE41" s="480"/>
      <c r="BF41" s="480"/>
      <c r="BG41" s="481"/>
      <c r="BH41" s="56"/>
      <c r="BI41" s="513"/>
      <c r="BJ41" s="514"/>
      <c r="BK41" s="514"/>
      <c r="BL41" s="514"/>
      <c r="BM41" s="514"/>
      <c r="BN41" s="515"/>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row>
    <row r="42" spans="1:100" ht="15" customHeight="1" x14ac:dyDescent="0.35">
      <c r="A42" s="56"/>
      <c r="B42" s="307"/>
      <c r="C42" s="307"/>
      <c r="D42" s="308"/>
      <c r="E42" s="468"/>
      <c r="F42" s="469"/>
      <c r="G42" s="469"/>
      <c r="H42" s="469"/>
      <c r="I42" s="474"/>
      <c r="J42" s="457" t="str">
        <f>IF(AND('Mapa final'!$K$121="Alta",'Mapa final'!$O$121="Leve"),CONCATENATE("R",'Mapa final'!$A$121),"")</f>
        <v/>
      </c>
      <c r="K42" s="458"/>
      <c r="L42" s="458" t="str">
        <f>IF(AND('Mapa final'!$K$124="Alta",'Mapa final'!$O$124="Leve"),CONCATENATE("R",'Mapa final'!$A$124),"")</f>
        <v/>
      </c>
      <c r="M42" s="458"/>
      <c r="N42" s="458" t="str">
        <f>IF(AND('Mapa final'!$K$127="Alta",'Mapa final'!$O$127="Leve"),CONCATENATE("R",'Mapa final'!$A$127),"")</f>
        <v/>
      </c>
      <c r="O42" s="458"/>
      <c r="P42" s="458" t="str">
        <f>IF(AND('Mapa final'!$K$130="Alta",'Mapa final'!$O$130="Leve"),CONCATENATE("R",'Mapa final'!$A$130),"")</f>
        <v/>
      </c>
      <c r="Q42" s="458"/>
      <c r="R42" s="458" t="str">
        <f>IF(AND('Mapa final'!$K$133="Alta",'Mapa final'!$O$133="Leve"),CONCATENATE("R",'Mapa final'!$A$133),"")</f>
        <v/>
      </c>
      <c r="S42" s="461"/>
      <c r="T42" s="457" t="str">
        <f>IF(AND('Mapa final'!$K$121="Alta",'Mapa final'!$O$121="Menor"),CONCATENATE("R",'Mapa final'!$A$121),"")</f>
        <v/>
      </c>
      <c r="U42" s="458"/>
      <c r="V42" s="458" t="str">
        <f>IF(AND('Mapa final'!$K$124="Alta",'Mapa final'!$O$124="Menor"),CONCATENATE("R",'Mapa final'!$A$124),"")</f>
        <v/>
      </c>
      <c r="W42" s="458"/>
      <c r="X42" s="458" t="str">
        <f>IF(AND('Mapa final'!$K$127="Alta",'Mapa final'!$O$127="Menor"),CONCATENATE("R",'Mapa final'!$A$127),"")</f>
        <v/>
      </c>
      <c r="Y42" s="458"/>
      <c r="Z42" s="458" t="str">
        <f>IF(AND('Mapa final'!$K$130="Alta",'Mapa final'!$O$130="Menor"),CONCATENATE("R",'Mapa final'!$A$130),"")</f>
        <v/>
      </c>
      <c r="AA42" s="458"/>
      <c r="AB42" s="458" t="str">
        <f>IF(AND('Mapa final'!$K$133="Alta",'Mapa final'!$O$133="Menor"),CONCATENATE("R",'Mapa final'!$A$133),"")</f>
        <v/>
      </c>
      <c r="AC42" s="461"/>
      <c r="AD42" s="491" t="str">
        <f>IF(AND('Mapa final'!$K$121="Alta",'Mapa final'!$O$121="Moderado"),CONCATENATE("R",'Mapa final'!$A$121),"")</f>
        <v/>
      </c>
      <c r="AE42" s="450"/>
      <c r="AF42" s="450" t="str">
        <f>IF(AND('Mapa final'!$K$124="Alta",'Mapa final'!$O$124="Moderado"),CONCATENATE("R",'Mapa final'!$A$124),"")</f>
        <v/>
      </c>
      <c r="AG42" s="450"/>
      <c r="AH42" s="450" t="str">
        <f>IF(AND('Mapa final'!$K$127="Alta",'Mapa final'!$O$127="Moderado"),CONCATENATE("R",'Mapa final'!$A$127),"")</f>
        <v/>
      </c>
      <c r="AI42" s="450"/>
      <c r="AJ42" s="450" t="str">
        <f>IF(AND('Mapa final'!$K$130="Alta",'Mapa final'!$O$130="Moderado"),CONCATENATE("R",'Mapa final'!$A$130),"")</f>
        <v/>
      </c>
      <c r="AK42" s="450"/>
      <c r="AL42" s="450" t="str">
        <f>IF(AND('Mapa final'!$K$133="Alta",'Mapa final'!$O$133="Moderado"),CONCATENATE("R",'Mapa final'!$A$133),"")</f>
        <v/>
      </c>
      <c r="AM42" s="490"/>
      <c r="AN42" s="491" t="str">
        <f>IF(AND('Mapa final'!$K$121="Alta",'Mapa final'!$O$121="Mayor"),CONCATENATE("R",'Mapa final'!$A$121),"")</f>
        <v/>
      </c>
      <c r="AO42" s="450"/>
      <c r="AP42" s="450" t="str">
        <f>IF(AND('Mapa final'!$K$124="Alta",'Mapa final'!$O$124="Mayor"),CONCATENATE("R",'Mapa final'!$A$124),"")</f>
        <v/>
      </c>
      <c r="AQ42" s="450"/>
      <c r="AR42" s="450" t="str">
        <f>IF(AND('Mapa final'!$K$127="Alta",'Mapa final'!$O$127="Mayor"),CONCATENATE("R",'Mapa final'!$A$127),"")</f>
        <v/>
      </c>
      <c r="AS42" s="450"/>
      <c r="AT42" s="450" t="str">
        <f>IF(AND('Mapa final'!$K$130="Alta",'Mapa final'!$O$130="Mayor"),CONCATENATE("R",'Mapa final'!$A$130),"")</f>
        <v/>
      </c>
      <c r="AU42" s="450"/>
      <c r="AV42" s="450" t="str">
        <f>IF(AND('Mapa final'!$K$133="Alta",'Mapa final'!$O$133="Mayor"),CONCATENATE("R",'Mapa final'!$A$133),"")</f>
        <v/>
      </c>
      <c r="AW42" s="490"/>
      <c r="AX42" s="482" t="str">
        <f>IF(AND('Mapa final'!$K$121="Alta",'Mapa final'!$O$121="Catastrófico"),CONCATENATE("R",'Mapa final'!$A$121),"")</f>
        <v/>
      </c>
      <c r="AY42" s="480"/>
      <c r="AZ42" s="480" t="str">
        <f>IF(AND('Mapa final'!$K$124="Alta",'Mapa final'!$O$124="Catastrófico"),CONCATENATE("R",'Mapa final'!$A$124),"")</f>
        <v/>
      </c>
      <c r="BA42" s="480"/>
      <c r="BB42" s="480" t="str">
        <f>IF(AND('Mapa final'!$K$127="Alta",'Mapa final'!$O$127="Catastrófico"),CONCATENATE("R",'Mapa final'!$A$127),"")</f>
        <v/>
      </c>
      <c r="BC42" s="480"/>
      <c r="BD42" s="480" t="str">
        <f>IF(AND('Mapa final'!$K$130="Alta",'Mapa final'!$O$130="Catastrófico"),CONCATENATE("R",'Mapa final'!$A$130),"")</f>
        <v/>
      </c>
      <c r="BE42" s="480"/>
      <c r="BF42" s="480" t="str">
        <f>IF(AND('Mapa final'!$K$133="Alta",'Mapa final'!$O$133="Catastrófico"),CONCATENATE("R",'Mapa final'!$A$133),"")</f>
        <v/>
      </c>
      <c r="BG42" s="481"/>
      <c r="BH42" s="56"/>
      <c r="BI42" s="513"/>
      <c r="BJ42" s="514"/>
      <c r="BK42" s="514"/>
      <c r="BL42" s="514"/>
      <c r="BM42" s="514"/>
      <c r="BN42" s="515"/>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row>
    <row r="43" spans="1:100" ht="15" customHeight="1" x14ac:dyDescent="0.35">
      <c r="A43" s="56"/>
      <c r="B43" s="307"/>
      <c r="C43" s="307"/>
      <c r="D43" s="308"/>
      <c r="E43" s="468"/>
      <c r="F43" s="469"/>
      <c r="G43" s="469"/>
      <c r="H43" s="469"/>
      <c r="I43" s="474"/>
      <c r="J43" s="457"/>
      <c r="K43" s="458"/>
      <c r="L43" s="458"/>
      <c r="M43" s="458"/>
      <c r="N43" s="458"/>
      <c r="O43" s="458"/>
      <c r="P43" s="458"/>
      <c r="Q43" s="458"/>
      <c r="R43" s="458"/>
      <c r="S43" s="461"/>
      <c r="T43" s="457"/>
      <c r="U43" s="458"/>
      <c r="V43" s="458"/>
      <c r="W43" s="458"/>
      <c r="X43" s="458"/>
      <c r="Y43" s="458"/>
      <c r="Z43" s="458"/>
      <c r="AA43" s="458"/>
      <c r="AB43" s="458"/>
      <c r="AC43" s="461"/>
      <c r="AD43" s="491"/>
      <c r="AE43" s="450"/>
      <c r="AF43" s="450"/>
      <c r="AG43" s="450"/>
      <c r="AH43" s="450"/>
      <c r="AI43" s="450"/>
      <c r="AJ43" s="450"/>
      <c r="AK43" s="450"/>
      <c r="AL43" s="450"/>
      <c r="AM43" s="490"/>
      <c r="AN43" s="491"/>
      <c r="AO43" s="450"/>
      <c r="AP43" s="450"/>
      <c r="AQ43" s="450"/>
      <c r="AR43" s="450"/>
      <c r="AS43" s="450"/>
      <c r="AT43" s="450"/>
      <c r="AU43" s="450"/>
      <c r="AV43" s="450"/>
      <c r="AW43" s="490"/>
      <c r="AX43" s="482"/>
      <c r="AY43" s="480"/>
      <c r="AZ43" s="480"/>
      <c r="BA43" s="480"/>
      <c r="BB43" s="480"/>
      <c r="BC43" s="480"/>
      <c r="BD43" s="480"/>
      <c r="BE43" s="480"/>
      <c r="BF43" s="480"/>
      <c r="BG43" s="481"/>
      <c r="BH43" s="56"/>
      <c r="BI43" s="513"/>
      <c r="BJ43" s="514"/>
      <c r="BK43" s="514"/>
      <c r="BL43" s="514"/>
      <c r="BM43" s="514"/>
      <c r="BN43" s="515"/>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row>
    <row r="44" spans="1:100" ht="15" customHeight="1" x14ac:dyDescent="0.35">
      <c r="A44" s="56"/>
      <c r="B44" s="307"/>
      <c r="C44" s="307"/>
      <c r="D44" s="308"/>
      <c r="E44" s="468"/>
      <c r="F44" s="469"/>
      <c r="G44" s="469"/>
      <c r="H44" s="469"/>
      <c r="I44" s="474"/>
      <c r="J44" s="457" t="str">
        <f>IF(AND('Mapa final'!$K$136="Alta",'Mapa final'!$O$136="Leve"),CONCATENATE("R",'Mapa final'!$A$136),"")</f>
        <v/>
      </c>
      <c r="K44" s="458"/>
      <c r="L44" s="458" t="str">
        <f>IF(AND('Mapa final'!$K$139="Alta",'Mapa final'!$O$139="Leve"),CONCATENATE("R",'Mapa final'!$A$139),"")</f>
        <v/>
      </c>
      <c r="M44" s="458"/>
      <c r="N44" s="458" t="str">
        <f>IF(AND('Mapa final'!$K$142="Alta",'Mapa final'!$O$142="Leve"),CONCATENATE("R",'Mapa final'!$A$142),"")</f>
        <v/>
      </c>
      <c r="O44" s="458"/>
      <c r="P44" s="458" t="str">
        <f>IF(AND('Mapa final'!$K$145="Alta",'Mapa final'!$O$145="Leve"),CONCATENATE("R",'Mapa final'!$A$145),"")</f>
        <v/>
      </c>
      <c r="Q44" s="458"/>
      <c r="R44" s="458" t="str">
        <f>IF(AND('Mapa final'!$K$148="Alta",'Mapa final'!$O$148="Leve"),CONCATENATE("R",'Mapa final'!$A$148),"")</f>
        <v/>
      </c>
      <c r="S44" s="461"/>
      <c r="T44" s="457" t="str">
        <f>IF(AND('Mapa final'!$K$136="Alta",'Mapa final'!$O$136="Menor"),CONCATENATE("R",'Mapa final'!$A$136),"")</f>
        <v/>
      </c>
      <c r="U44" s="458"/>
      <c r="V44" s="458" t="str">
        <f>IF(AND('Mapa final'!$K$139="Alta",'Mapa final'!$O$139="Menor"),CONCATENATE("R",'Mapa final'!$A$139),"")</f>
        <v/>
      </c>
      <c r="W44" s="458"/>
      <c r="X44" s="458" t="str">
        <f>IF(AND('Mapa final'!$K$142="Alta",'Mapa final'!$O$142="Menor"),CONCATENATE("R",'Mapa final'!$A$142),"")</f>
        <v/>
      </c>
      <c r="Y44" s="458"/>
      <c r="Z44" s="458" t="str">
        <f>IF(AND('Mapa final'!$K$145="Alta",'Mapa final'!$O$145="Menor"),CONCATENATE("R",'Mapa final'!$A$145),"")</f>
        <v/>
      </c>
      <c r="AA44" s="458"/>
      <c r="AB44" s="458" t="str">
        <f>IF(AND('Mapa final'!$K$148="Alta",'Mapa final'!$O$148="Menor"),CONCATENATE("R",'Mapa final'!$A$148),"")</f>
        <v/>
      </c>
      <c r="AC44" s="461"/>
      <c r="AD44" s="491" t="str">
        <f>IF(AND('Mapa final'!$K$136="Alta",'Mapa final'!$O$136="Moderado"),CONCATENATE("R",'Mapa final'!$A$136),"")</f>
        <v/>
      </c>
      <c r="AE44" s="450"/>
      <c r="AF44" s="450" t="str">
        <f>IF(AND('Mapa final'!$K$139="Alta",'Mapa final'!$O$139="Moderado"),CONCATENATE("R",'Mapa final'!$A$139),"")</f>
        <v/>
      </c>
      <c r="AG44" s="450"/>
      <c r="AH44" s="450" t="str">
        <f>IF(AND('Mapa final'!$K$142="Alta",'Mapa final'!$O$142="Moderado"),CONCATENATE("R",'Mapa final'!$A$142),"")</f>
        <v/>
      </c>
      <c r="AI44" s="450"/>
      <c r="AJ44" s="450" t="str">
        <f>IF(AND('Mapa final'!$K$145="Alta",'Mapa final'!$O$145="Moderado"),CONCATENATE("R",'Mapa final'!$A$145),"")</f>
        <v/>
      </c>
      <c r="AK44" s="450"/>
      <c r="AL44" s="450" t="str">
        <f>IF(AND('Mapa final'!$K$148="Alta",'Mapa final'!$O$148="Moderado"),CONCATENATE("R",'Mapa final'!$A$148),"")</f>
        <v/>
      </c>
      <c r="AM44" s="490"/>
      <c r="AN44" s="491" t="str">
        <f>IF(AND('Mapa final'!$K$136="Alta",'Mapa final'!$O$136="Mayor"),CONCATENATE("R",'Mapa final'!$A$136),"")</f>
        <v/>
      </c>
      <c r="AO44" s="450"/>
      <c r="AP44" s="450" t="str">
        <f>IF(AND('Mapa final'!$K$139="Alta",'Mapa final'!$O$139="Mayor"),CONCATENATE("R",'Mapa final'!$A$139),"")</f>
        <v/>
      </c>
      <c r="AQ44" s="450"/>
      <c r="AR44" s="450" t="str">
        <f>IF(AND('Mapa final'!$K$142="Alta",'Mapa final'!$O$142="Mayor"),CONCATENATE("R",'Mapa final'!$A$142),"")</f>
        <v/>
      </c>
      <c r="AS44" s="450"/>
      <c r="AT44" s="450" t="str">
        <f>IF(AND('Mapa final'!$K$145="Alta",'Mapa final'!$O$145="Mayor"),CONCATENATE("R",'Mapa final'!$A$145),"")</f>
        <v/>
      </c>
      <c r="AU44" s="450"/>
      <c r="AV44" s="450" t="str">
        <f>IF(AND('Mapa final'!$K$148="Alta",'Mapa final'!$O$148="Mayor"),CONCATENATE("R",'Mapa final'!$A$148),"")</f>
        <v/>
      </c>
      <c r="AW44" s="490"/>
      <c r="AX44" s="482" t="str">
        <f>IF(AND('Mapa final'!$K$136="Alta",'Mapa final'!$O$136="Catastrófico"),CONCATENATE("R",'Mapa final'!$A$136),"")</f>
        <v/>
      </c>
      <c r="AY44" s="480"/>
      <c r="AZ44" s="480" t="str">
        <f>IF(AND('Mapa final'!$K$139="Alta",'Mapa final'!$O$139="Catastrófico"),CONCATENATE("R",'Mapa final'!$A$139),"")</f>
        <v/>
      </c>
      <c r="BA44" s="480"/>
      <c r="BB44" s="480" t="str">
        <f>IF(AND('Mapa final'!$K$142="Alta",'Mapa final'!$O$142="Catastrófico"),CONCATENATE("R",'Mapa final'!$A$142),"")</f>
        <v/>
      </c>
      <c r="BC44" s="480"/>
      <c r="BD44" s="480" t="str">
        <f>IF(AND('Mapa final'!$K$145="Alta",'Mapa final'!$O$145="Catastrófico"),CONCATENATE("R",'Mapa final'!$A$145),"")</f>
        <v/>
      </c>
      <c r="BE44" s="480"/>
      <c r="BF44" s="480" t="str">
        <f>IF(AND('Mapa final'!$K$148="Alta",'Mapa final'!$O$148="Catastrófico"),CONCATENATE("R",'Mapa final'!$A$148),"")</f>
        <v/>
      </c>
      <c r="BG44" s="481"/>
      <c r="BH44" s="56"/>
      <c r="BI44" s="513"/>
      <c r="BJ44" s="514"/>
      <c r="BK44" s="514"/>
      <c r="BL44" s="514"/>
      <c r="BM44" s="514"/>
      <c r="BN44" s="515"/>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row>
    <row r="45" spans="1:100" ht="15" customHeight="1" thickBot="1" x14ac:dyDescent="0.4">
      <c r="A45" s="56"/>
      <c r="B45" s="307"/>
      <c r="C45" s="307"/>
      <c r="D45" s="308"/>
      <c r="E45" s="468"/>
      <c r="F45" s="469"/>
      <c r="G45" s="469"/>
      <c r="H45" s="469"/>
      <c r="I45" s="474"/>
      <c r="J45" s="459"/>
      <c r="K45" s="460"/>
      <c r="L45" s="460"/>
      <c r="M45" s="460"/>
      <c r="N45" s="460"/>
      <c r="O45" s="460"/>
      <c r="P45" s="460"/>
      <c r="Q45" s="460"/>
      <c r="R45" s="460"/>
      <c r="S45" s="462"/>
      <c r="T45" s="459"/>
      <c r="U45" s="460"/>
      <c r="V45" s="460"/>
      <c r="W45" s="460"/>
      <c r="X45" s="460"/>
      <c r="Y45" s="460"/>
      <c r="Z45" s="460"/>
      <c r="AA45" s="460"/>
      <c r="AB45" s="460"/>
      <c r="AC45" s="462"/>
      <c r="AD45" s="492"/>
      <c r="AE45" s="489"/>
      <c r="AF45" s="489"/>
      <c r="AG45" s="489"/>
      <c r="AH45" s="489"/>
      <c r="AI45" s="489"/>
      <c r="AJ45" s="489"/>
      <c r="AK45" s="489"/>
      <c r="AL45" s="489"/>
      <c r="AM45" s="493"/>
      <c r="AN45" s="492"/>
      <c r="AO45" s="489"/>
      <c r="AP45" s="489"/>
      <c r="AQ45" s="489"/>
      <c r="AR45" s="489"/>
      <c r="AS45" s="489"/>
      <c r="AT45" s="489"/>
      <c r="AU45" s="489"/>
      <c r="AV45" s="489"/>
      <c r="AW45" s="493"/>
      <c r="AX45" s="483"/>
      <c r="AY45" s="484"/>
      <c r="AZ45" s="484"/>
      <c r="BA45" s="484"/>
      <c r="BB45" s="484"/>
      <c r="BC45" s="484"/>
      <c r="BD45" s="484"/>
      <c r="BE45" s="484"/>
      <c r="BF45" s="484"/>
      <c r="BG45" s="485"/>
      <c r="BH45" s="56"/>
      <c r="BI45" s="513"/>
      <c r="BJ45" s="514"/>
      <c r="BK45" s="514"/>
      <c r="BL45" s="514"/>
      <c r="BM45" s="514"/>
      <c r="BN45" s="515"/>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row>
    <row r="46" spans="1:100" ht="15" customHeight="1" x14ac:dyDescent="0.35">
      <c r="A46" s="56"/>
      <c r="B46" s="307"/>
      <c r="C46" s="307"/>
      <c r="D46" s="308"/>
      <c r="E46" s="465" t="s">
        <v>108</v>
      </c>
      <c r="F46" s="466"/>
      <c r="G46" s="466"/>
      <c r="H46" s="466"/>
      <c r="I46" s="466"/>
      <c r="J46" s="478" t="str">
        <f>IF(AND('Mapa final'!$K$7="Media",'Mapa final'!$O$7="Leve"),CONCATENATE("R",'Mapa final'!$A$7),"")</f>
        <v/>
      </c>
      <c r="K46" s="463"/>
      <c r="L46" s="463" t="str">
        <f>IF(AND('Mapa final'!$K$10="Media",'Mapa final'!$O$10="Leve"),CONCATENATE("R",'Mapa final'!$A$10),"")</f>
        <v/>
      </c>
      <c r="M46" s="463"/>
      <c r="N46" s="463" t="str">
        <f>IF(AND('Mapa final'!$K$13="Media",'Mapa final'!$O$13="Leve"),CONCATENATE("R",'Mapa final'!$A$13),"")</f>
        <v/>
      </c>
      <c r="O46" s="463"/>
      <c r="P46" s="463" t="e">
        <f>IF(AND('Mapa final'!#REF!="Media",'Mapa final'!#REF!="Leve"),CONCATENATE("R",'Mapa final'!#REF!),"")</f>
        <v>#REF!</v>
      </c>
      <c r="Q46" s="463"/>
      <c r="R46" s="463" t="e">
        <f>IF(AND('Mapa final'!#REF!="Media",'Mapa final'!#REF!="Leve"),CONCATENATE("R",'Mapa final'!#REF!),"")</f>
        <v>#REF!</v>
      </c>
      <c r="S46" s="479"/>
      <c r="T46" s="478" t="str">
        <f>IF(AND('Mapa final'!$K$7="Media",'Mapa final'!$O$7="Menor"),CONCATENATE("R",'Mapa final'!$A$7),"")</f>
        <v/>
      </c>
      <c r="U46" s="463"/>
      <c r="V46" s="463" t="str">
        <f>IF(AND('Mapa final'!$K$10="Media",'Mapa final'!$O$10="Menor"),CONCATENATE("R",'Mapa final'!$A$10),"")</f>
        <v/>
      </c>
      <c r="W46" s="463"/>
      <c r="X46" s="463" t="str">
        <f>IF(AND('Mapa final'!$K$13="Media",'Mapa final'!$O$13="Menor"),CONCATENATE("R",'Mapa final'!$A$13),"")</f>
        <v/>
      </c>
      <c r="Y46" s="463"/>
      <c r="Z46" s="463" t="e">
        <f>IF(AND('Mapa final'!#REF!="Media",'Mapa final'!#REF!="Menor"),CONCATENATE("R",'Mapa final'!#REF!),"")</f>
        <v>#REF!</v>
      </c>
      <c r="AA46" s="463"/>
      <c r="AB46" s="463" t="e">
        <f>IF(AND('Mapa final'!#REF!="Media",'Mapa final'!#REF!="Menor"),CONCATENATE("R",'Mapa final'!#REF!),"")</f>
        <v>#REF!</v>
      </c>
      <c r="AC46" s="479"/>
      <c r="AD46" s="478" t="str">
        <f>IF(AND('Mapa final'!$K$7="Media",'Mapa final'!$O$7="Moderado"),CONCATENATE("R",'Mapa final'!$A$7),"")</f>
        <v/>
      </c>
      <c r="AE46" s="463"/>
      <c r="AF46" s="463" t="str">
        <f>IF(AND('Mapa final'!$K$10="Media",'Mapa final'!$O$10="Moderado"),CONCATENATE("R",'Mapa final'!$A$10),"")</f>
        <v>R2</v>
      </c>
      <c r="AG46" s="463"/>
      <c r="AH46" s="463" t="str">
        <f>IF(AND('Mapa final'!$K$13="Media",'Mapa final'!$O$13="Moderado"),CONCATENATE("R",'Mapa final'!$A$13),"")</f>
        <v/>
      </c>
      <c r="AI46" s="463"/>
      <c r="AJ46" s="463" t="e">
        <f>IF(AND('Mapa final'!#REF!="Media",'Mapa final'!#REF!="Moderado"),CONCATENATE("R",'Mapa final'!#REF!),"")</f>
        <v>#REF!</v>
      </c>
      <c r="AK46" s="463"/>
      <c r="AL46" s="463" t="e">
        <f>IF(AND('Mapa final'!#REF!="Media",'Mapa final'!#REF!="Moderado"),CONCATENATE("R",'Mapa final'!#REF!),"")</f>
        <v>#REF!</v>
      </c>
      <c r="AM46" s="479"/>
      <c r="AN46" s="494" t="str">
        <f>IF(AND('Mapa final'!$K$7="Media",'Mapa final'!$O$7="Mayor"),CONCATENATE("R",'Mapa final'!$A$7),"")</f>
        <v/>
      </c>
      <c r="AO46" s="495"/>
      <c r="AP46" s="495" t="str">
        <f>IF(AND('Mapa final'!$K$10="Media",'Mapa final'!$O$10="Mayor"),CONCATENATE("R",'Mapa final'!$A$10),"")</f>
        <v/>
      </c>
      <c r="AQ46" s="495"/>
      <c r="AR46" s="495" t="str">
        <f>IF(AND('Mapa final'!$K$13="Media",'Mapa final'!$O$13="Mayor"),CONCATENATE("R",'Mapa final'!$A$13),"")</f>
        <v/>
      </c>
      <c r="AS46" s="495"/>
      <c r="AT46" s="495" t="e">
        <f>IF(AND('Mapa final'!#REF!="Media",'Mapa final'!#REF!="Mayor"),CONCATENATE("R",'Mapa final'!#REF!),"")</f>
        <v>#REF!</v>
      </c>
      <c r="AU46" s="495"/>
      <c r="AV46" s="495" t="e">
        <f>IF(AND('Mapa final'!#REF!="Media",'Mapa final'!#REF!="Mayor"),CONCATENATE("R",'Mapa final'!#REF!),"")</f>
        <v>#REF!</v>
      </c>
      <c r="AW46" s="496"/>
      <c r="AX46" s="486" t="str">
        <f>IF(AND('Mapa final'!$K$7="Media",'Mapa final'!$O$7="Catastrófico"),CONCATENATE("R",'Mapa final'!$A$7),"")</f>
        <v/>
      </c>
      <c r="AY46" s="487"/>
      <c r="AZ46" s="487" t="str">
        <f>IF(AND('Mapa final'!$K$10="Media",'Mapa final'!$O$10="Catastrófico"),CONCATENATE("R",'Mapa final'!$A$10),"")</f>
        <v/>
      </c>
      <c r="BA46" s="487"/>
      <c r="BB46" s="487" t="str">
        <f>IF(AND('Mapa final'!$K$13="Media",'Mapa final'!$O$13="Catastrófico"),CONCATENATE("R",'Mapa final'!$A$13),"")</f>
        <v/>
      </c>
      <c r="BC46" s="487"/>
      <c r="BD46" s="487" t="e">
        <f>IF(AND('Mapa final'!#REF!="Media",'Mapa final'!#REF!="Catastrófico"),CONCATENATE("R",'Mapa final'!#REF!),"")</f>
        <v>#REF!</v>
      </c>
      <c r="BE46" s="487"/>
      <c r="BF46" s="487" t="e">
        <f>IF(AND('Mapa final'!#REF!="Media",'Mapa final'!#REF!="Catastrófico"),CONCATENATE("R",'Mapa final'!#REF!),"")</f>
        <v>#REF!</v>
      </c>
      <c r="BG46" s="488"/>
      <c r="BH46" s="56"/>
      <c r="BI46" s="513"/>
      <c r="BJ46" s="514"/>
      <c r="BK46" s="514"/>
      <c r="BL46" s="514"/>
      <c r="BM46" s="514"/>
      <c r="BN46" s="515"/>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row>
    <row r="47" spans="1:100" ht="15" customHeight="1" x14ac:dyDescent="0.35">
      <c r="A47" s="56"/>
      <c r="B47" s="307"/>
      <c r="C47" s="307"/>
      <c r="D47" s="308"/>
      <c r="E47" s="468"/>
      <c r="F47" s="469"/>
      <c r="G47" s="469"/>
      <c r="H47" s="469"/>
      <c r="I47" s="474"/>
      <c r="J47" s="457"/>
      <c r="K47" s="458"/>
      <c r="L47" s="458"/>
      <c r="M47" s="458"/>
      <c r="N47" s="458"/>
      <c r="O47" s="458"/>
      <c r="P47" s="458"/>
      <c r="Q47" s="458"/>
      <c r="R47" s="458"/>
      <c r="S47" s="461"/>
      <c r="T47" s="457"/>
      <c r="U47" s="458"/>
      <c r="V47" s="458"/>
      <c r="W47" s="458"/>
      <c r="X47" s="458"/>
      <c r="Y47" s="458"/>
      <c r="Z47" s="458"/>
      <c r="AA47" s="458"/>
      <c r="AB47" s="458"/>
      <c r="AC47" s="461"/>
      <c r="AD47" s="457"/>
      <c r="AE47" s="458"/>
      <c r="AF47" s="458"/>
      <c r="AG47" s="458"/>
      <c r="AH47" s="458"/>
      <c r="AI47" s="458"/>
      <c r="AJ47" s="458"/>
      <c r="AK47" s="458"/>
      <c r="AL47" s="458"/>
      <c r="AM47" s="461"/>
      <c r="AN47" s="491"/>
      <c r="AO47" s="450"/>
      <c r="AP47" s="450"/>
      <c r="AQ47" s="450"/>
      <c r="AR47" s="450"/>
      <c r="AS47" s="450"/>
      <c r="AT47" s="450"/>
      <c r="AU47" s="450"/>
      <c r="AV47" s="450"/>
      <c r="AW47" s="490"/>
      <c r="AX47" s="482"/>
      <c r="AY47" s="480"/>
      <c r="AZ47" s="480"/>
      <c r="BA47" s="480"/>
      <c r="BB47" s="480"/>
      <c r="BC47" s="480"/>
      <c r="BD47" s="480"/>
      <c r="BE47" s="480"/>
      <c r="BF47" s="480"/>
      <c r="BG47" s="481"/>
      <c r="BH47" s="56"/>
      <c r="BI47" s="513"/>
      <c r="BJ47" s="514"/>
      <c r="BK47" s="514"/>
      <c r="BL47" s="514"/>
      <c r="BM47" s="514"/>
      <c r="BN47" s="515"/>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row>
    <row r="48" spans="1:100" ht="15" customHeight="1" x14ac:dyDescent="0.35">
      <c r="A48" s="56"/>
      <c r="B48" s="307"/>
      <c r="C48" s="307"/>
      <c r="D48" s="308"/>
      <c r="E48" s="468"/>
      <c r="F48" s="469"/>
      <c r="G48" s="469"/>
      <c r="H48" s="469"/>
      <c r="I48" s="474"/>
      <c r="J48" s="457" t="str">
        <f>IF(AND('Mapa final'!$K$16="Media",'Mapa final'!$O$16="Leve"),CONCATENATE("R",'Mapa final'!$A$16),"")</f>
        <v/>
      </c>
      <c r="K48" s="458"/>
      <c r="L48" s="458" t="str">
        <f>IF(AND('Mapa final'!$K$19="Media",'Mapa final'!$O$19="Leve"),CONCATENATE("R",'Mapa final'!$A$19),"")</f>
        <v/>
      </c>
      <c r="M48" s="458"/>
      <c r="N48" s="458" t="str">
        <f>IF(AND('Mapa final'!$K$22="Media",'Mapa final'!$O$22="Leve"),CONCATENATE("R",'Mapa final'!$A$22),"")</f>
        <v/>
      </c>
      <c r="O48" s="458"/>
      <c r="P48" s="458" t="str">
        <f>IF(AND('Mapa final'!$K$25="Media",'Mapa final'!$O$25="Leve"),CONCATENATE("R",'Mapa final'!$A$25),"")</f>
        <v/>
      </c>
      <c r="Q48" s="458"/>
      <c r="R48" s="458" t="str">
        <f>IF(AND('Mapa final'!$K$28="Media",'Mapa final'!$O$28="Leve"),CONCATENATE("R",'Mapa final'!$A$28),"")</f>
        <v/>
      </c>
      <c r="S48" s="461"/>
      <c r="T48" s="457" t="str">
        <f>IF(AND('Mapa final'!$K$16="Media",'Mapa final'!$O$16="Menor"),CONCATENATE("R",'Mapa final'!$A$16),"")</f>
        <v/>
      </c>
      <c r="U48" s="458"/>
      <c r="V48" s="458" t="str">
        <f>IF(AND('Mapa final'!$K$19="Media",'Mapa final'!$O$19="Menor"),CONCATENATE("R",'Mapa final'!$A$19),"")</f>
        <v/>
      </c>
      <c r="W48" s="458"/>
      <c r="X48" s="458" t="str">
        <f>IF(AND('Mapa final'!$K$22="Media",'Mapa final'!$O$22="Menor"),CONCATENATE("R",'Mapa final'!$A$22),"")</f>
        <v/>
      </c>
      <c r="Y48" s="458"/>
      <c r="Z48" s="458" t="str">
        <f>IF(AND('Mapa final'!$K$25="Media",'Mapa final'!$O$25="Menor"),CONCATENATE("R",'Mapa final'!$A$25),"")</f>
        <v/>
      </c>
      <c r="AA48" s="458"/>
      <c r="AB48" s="458" t="str">
        <f>IF(AND('Mapa final'!$K$28="Media",'Mapa final'!$O$28="Menor"),CONCATENATE("R",'Mapa final'!$A$28),"")</f>
        <v/>
      </c>
      <c r="AC48" s="461"/>
      <c r="AD48" s="457" t="str">
        <f>IF(AND('Mapa final'!$K$16="Media",'Mapa final'!$O$16="Moderado"),CONCATENATE("R",'Mapa final'!$A$16),"")</f>
        <v/>
      </c>
      <c r="AE48" s="458"/>
      <c r="AF48" s="458" t="str">
        <f>IF(AND('Mapa final'!$K$19="Media",'Mapa final'!$O$19="Moderado"),CONCATENATE("R",'Mapa final'!$A$19),"")</f>
        <v/>
      </c>
      <c r="AG48" s="458"/>
      <c r="AH48" s="458" t="str">
        <f>IF(AND('Mapa final'!$K$22="Media",'Mapa final'!$O$22="Moderado"),CONCATENATE("R",'Mapa final'!$A$22),"")</f>
        <v/>
      </c>
      <c r="AI48" s="458"/>
      <c r="AJ48" s="458" t="str">
        <f>IF(AND('Mapa final'!$K$25="Media",'Mapa final'!$O$25="Moderado"),CONCATENATE("R",'Mapa final'!$A$25),"")</f>
        <v/>
      </c>
      <c r="AK48" s="458"/>
      <c r="AL48" s="458" t="str">
        <f>IF(AND('Mapa final'!$K$28="Media",'Mapa final'!$O$28="Moderado"),CONCATENATE("R",'Mapa final'!$A$28),"")</f>
        <v/>
      </c>
      <c r="AM48" s="461"/>
      <c r="AN48" s="491" t="str">
        <f>IF(AND('Mapa final'!$K$16="Media",'Mapa final'!$O$16="Mayor"),CONCATENATE("R",'Mapa final'!$A$16),"")</f>
        <v/>
      </c>
      <c r="AO48" s="450"/>
      <c r="AP48" s="450" t="str">
        <f>IF(AND('Mapa final'!$K$19="Media",'Mapa final'!$O$19="Mayor"),CONCATENATE("R",'Mapa final'!$A$19),"")</f>
        <v/>
      </c>
      <c r="AQ48" s="450"/>
      <c r="AR48" s="450" t="str">
        <f>IF(AND('Mapa final'!$K$22="Media",'Mapa final'!$O$22="Mayor"),CONCATENATE("R",'Mapa final'!$A$22),"")</f>
        <v/>
      </c>
      <c r="AS48" s="450"/>
      <c r="AT48" s="450" t="str">
        <f>IF(AND('Mapa final'!$K$25="Media",'Mapa final'!$O$25="Mayor"),CONCATENATE("R",'Mapa final'!$A$25),"")</f>
        <v/>
      </c>
      <c r="AU48" s="450"/>
      <c r="AV48" s="450" t="str">
        <f>IF(AND('Mapa final'!$K$28="Media",'Mapa final'!$O$28="Mayor"),CONCATENATE("R",'Mapa final'!$A$28),"")</f>
        <v/>
      </c>
      <c r="AW48" s="490"/>
      <c r="AX48" s="482" t="str">
        <f>IF(AND('Mapa final'!$K$16="Media",'Mapa final'!$O$16="Catastrófico"),CONCATENATE("R",'Mapa final'!$A$16),"")</f>
        <v/>
      </c>
      <c r="AY48" s="480"/>
      <c r="AZ48" s="480" t="str">
        <f>IF(AND('Mapa final'!$K$19="Media",'Mapa final'!$O$19="Catastrófico"),CONCATENATE("R",'Mapa final'!$A$19),"")</f>
        <v/>
      </c>
      <c r="BA48" s="480"/>
      <c r="BB48" s="480" t="str">
        <f>IF(AND('Mapa final'!$K$22="Media",'Mapa final'!$O$22="Catastrófico"),CONCATENATE("R",'Mapa final'!$A$22),"")</f>
        <v/>
      </c>
      <c r="BC48" s="480"/>
      <c r="BD48" s="480" t="str">
        <f>IF(AND('Mapa final'!$K$25="Media",'Mapa final'!$O$25="Catastrófico"),CONCATENATE("R",'Mapa final'!$A$25),"")</f>
        <v/>
      </c>
      <c r="BE48" s="480"/>
      <c r="BF48" s="480" t="str">
        <f>IF(AND('Mapa final'!$K$28="Media",'Mapa final'!$O$28="Catastrófico"),CONCATENATE("R",'Mapa final'!$A$28),"")</f>
        <v/>
      </c>
      <c r="BG48" s="481"/>
      <c r="BH48" s="56"/>
      <c r="BI48" s="513"/>
      <c r="BJ48" s="514"/>
      <c r="BK48" s="514"/>
      <c r="BL48" s="514"/>
      <c r="BM48" s="514"/>
      <c r="BN48" s="515"/>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row>
    <row r="49" spans="1:100" ht="15" customHeight="1" x14ac:dyDescent="0.35">
      <c r="A49" s="56"/>
      <c r="B49" s="307"/>
      <c r="C49" s="307"/>
      <c r="D49" s="308"/>
      <c r="E49" s="468"/>
      <c r="F49" s="469"/>
      <c r="G49" s="469"/>
      <c r="H49" s="469"/>
      <c r="I49" s="474"/>
      <c r="J49" s="457"/>
      <c r="K49" s="458"/>
      <c r="L49" s="458"/>
      <c r="M49" s="458"/>
      <c r="N49" s="458"/>
      <c r="O49" s="458"/>
      <c r="P49" s="458"/>
      <c r="Q49" s="458"/>
      <c r="R49" s="458"/>
      <c r="S49" s="461"/>
      <c r="T49" s="457"/>
      <c r="U49" s="458"/>
      <c r="V49" s="458"/>
      <c r="W49" s="458"/>
      <c r="X49" s="458"/>
      <c r="Y49" s="458"/>
      <c r="Z49" s="458"/>
      <c r="AA49" s="458"/>
      <c r="AB49" s="458"/>
      <c r="AC49" s="461"/>
      <c r="AD49" s="457"/>
      <c r="AE49" s="458"/>
      <c r="AF49" s="458"/>
      <c r="AG49" s="458"/>
      <c r="AH49" s="458"/>
      <c r="AI49" s="458"/>
      <c r="AJ49" s="458"/>
      <c r="AK49" s="458"/>
      <c r="AL49" s="458"/>
      <c r="AM49" s="461"/>
      <c r="AN49" s="491"/>
      <c r="AO49" s="450"/>
      <c r="AP49" s="450"/>
      <c r="AQ49" s="450"/>
      <c r="AR49" s="450"/>
      <c r="AS49" s="450"/>
      <c r="AT49" s="450"/>
      <c r="AU49" s="450"/>
      <c r="AV49" s="450"/>
      <c r="AW49" s="490"/>
      <c r="AX49" s="482"/>
      <c r="AY49" s="480"/>
      <c r="AZ49" s="480"/>
      <c r="BA49" s="480"/>
      <c r="BB49" s="480"/>
      <c r="BC49" s="480"/>
      <c r="BD49" s="480"/>
      <c r="BE49" s="480"/>
      <c r="BF49" s="480"/>
      <c r="BG49" s="481"/>
      <c r="BH49" s="56"/>
      <c r="BI49" s="513"/>
      <c r="BJ49" s="514"/>
      <c r="BK49" s="514"/>
      <c r="BL49" s="514"/>
      <c r="BM49" s="514"/>
      <c r="BN49" s="515"/>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row>
    <row r="50" spans="1:100" ht="15" customHeight="1" x14ac:dyDescent="0.35">
      <c r="A50" s="56"/>
      <c r="B50" s="307"/>
      <c r="C50" s="307"/>
      <c r="D50" s="308"/>
      <c r="E50" s="468"/>
      <c r="F50" s="469"/>
      <c r="G50" s="469"/>
      <c r="H50" s="469"/>
      <c r="I50" s="474"/>
      <c r="J50" s="457" t="str">
        <f>IF(AND('Mapa final'!$K$31="Media",'Mapa final'!$O$31="Leve"),CONCATENATE("R",'Mapa final'!$A$31),"")</f>
        <v/>
      </c>
      <c r="K50" s="458"/>
      <c r="L50" s="458" t="str">
        <f>IF(AND('Mapa final'!$K$34="Media",'Mapa final'!$O$34="Leve"),CONCATENATE("R",'Mapa final'!$A$34),"")</f>
        <v/>
      </c>
      <c r="M50" s="458"/>
      <c r="N50" s="458" t="str">
        <f>IF(AND('Mapa final'!$K$37="Media",'Mapa final'!$O$37="Leve"),CONCATENATE("R",'Mapa final'!$A$37),"")</f>
        <v/>
      </c>
      <c r="O50" s="458"/>
      <c r="P50" s="458" t="str">
        <f>IF(AND('Mapa final'!$K$40="Media",'Mapa final'!$O$40="Leve"),CONCATENATE("R",'Mapa final'!$A$40),"")</f>
        <v/>
      </c>
      <c r="Q50" s="458"/>
      <c r="R50" s="458" t="str">
        <f>IF(AND('Mapa final'!$K$43="Media",'Mapa final'!$O$43="Leve"),CONCATENATE("R",'Mapa final'!$A$43),"")</f>
        <v/>
      </c>
      <c r="S50" s="461"/>
      <c r="T50" s="457" t="str">
        <f>IF(AND('Mapa final'!$K$31="Media",'Mapa final'!$O$31="Menor"),CONCATENATE("R",'Mapa final'!$A$31),"")</f>
        <v/>
      </c>
      <c r="U50" s="458"/>
      <c r="V50" s="458" t="str">
        <f>IF(AND('Mapa final'!$K$34="Media",'Mapa final'!$O$34="Menor"),CONCATENATE("R",'Mapa final'!$A$34),"")</f>
        <v/>
      </c>
      <c r="W50" s="458"/>
      <c r="X50" s="458" t="str">
        <f>IF(AND('Mapa final'!$K$37="Media",'Mapa final'!$O$37="Menor"),CONCATENATE("R",'Mapa final'!$A$37),"")</f>
        <v/>
      </c>
      <c r="Y50" s="458"/>
      <c r="Z50" s="458" t="str">
        <f>IF(AND('Mapa final'!$K$40="Media",'Mapa final'!$O$40="Menor"),CONCATENATE("R",'Mapa final'!$A$40),"")</f>
        <v/>
      </c>
      <c r="AA50" s="458"/>
      <c r="AB50" s="458" t="str">
        <f>IF(AND('Mapa final'!$K$43="Media",'Mapa final'!$O$43="Menor"),CONCATENATE("R",'Mapa final'!$A$43),"")</f>
        <v/>
      </c>
      <c r="AC50" s="461"/>
      <c r="AD50" s="457" t="str">
        <f>IF(AND('Mapa final'!$K$31="Media",'Mapa final'!$O$31="Moderado"),CONCATENATE("R",'Mapa final'!$A$31),"")</f>
        <v/>
      </c>
      <c r="AE50" s="458"/>
      <c r="AF50" s="458" t="str">
        <f>IF(AND('Mapa final'!$K$34="Media",'Mapa final'!$O$34="Moderado"),CONCATENATE("R",'Mapa final'!$A$34),"")</f>
        <v/>
      </c>
      <c r="AG50" s="458"/>
      <c r="AH50" s="458" t="str">
        <f>IF(AND('Mapa final'!$K$37="Media",'Mapa final'!$O$37="Moderado"),CONCATENATE("R",'Mapa final'!$A$37),"")</f>
        <v/>
      </c>
      <c r="AI50" s="458"/>
      <c r="AJ50" s="458" t="str">
        <f>IF(AND('Mapa final'!$K$40="Media",'Mapa final'!$O$40="Moderado"),CONCATENATE("R",'Mapa final'!$A$40),"")</f>
        <v/>
      </c>
      <c r="AK50" s="458"/>
      <c r="AL50" s="458" t="str">
        <f>IF(AND('Mapa final'!$K$43="Media",'Mapa final'!$O$43="Moderado"),CONCATENATE("R",'Mapa final'!$A$43),"")</f>
        <v/>
      </c>
      <c r="AM50" s="461"/>
      <c r="AN50" s="491" t="str">
        <f>IF(AND('Mapa final'!$K$31="Media",'Mapa final'!$O$31="Mayor"),CONCATENATE("R",'Mapa final'!$A$31),"")</f>
        <v/>
      </c>
      <c r="AO50" s="450"/>
      <c r="AP50" s="450" t="str">
        <f>IF(AND('Mapa final'!$K$34="Media",'Mapa final'!$O$34="Mayor"),CONCATENATE("R",'Mapa final'!$A$34),"")</f>
        <v/>
      </c>
      <c r="AQ50" s="450"/>
      <c r="AR50" s="450" t="str">
        <f>IF(AND('Mapa final'!$K$37="Media",'Mapa final'!$O$37="Mayor"),CONCATENATE("R",'Mapa final'!$A$37),"")</f>
        <v/>
      </c>
      <c r="AS50" s="450"/>
      <c r="AT50" s="450" t="str">
        <f>IF(AND('Mapa final'!$K$40="Media",'Mapa final'!$O$40="Mayor"),CONCATENATE("R",'Mapa final'!$A$40),"")</f>
        <v/>
      </c>
      <c r="AU50" s="450"/>
      <c r="AV50" s="450" t="str">
        <f>IF(AND('Mapa final'!$K$43="Media",'Mapa final'!$O$43="Mayor"),CONCATENATE("R",'Mapa final'!$A$43),"")</f>
        <v/>
      </c>
      <c r="AW50" s="490"/>
      <c r="AX50" s="482" t="str">
        <f>IF(AND('Mapa final'!$K$31="Media",'Mapa final'!$O$31="Catastrófico"),CONCATENATE("R",'Mapa final'!$A$31),"")</f>
        <v/>
      </c>
      <c r="AY50" s="480"/>
      <c r="AZ50" s="480" t="str">
        <f>IF(AND('Mapa final'!$K$34="Media",'Mapa final'!$O$34="Catastrófico"),CONCATENATE("R",'Mapa final'!$A$34),"")</f>
        <v/>
      </c>
      <c r="BA50" s="480"/>
      <c r="BB50" s="480" t="str">
        <f>IF(AND('Mapa final'!$K$37="Media",'Mapa final'!$O$37="Catastrófico"),CONCATENATE("R",'Mapa final'!$A$37),"")</f>
        <v/>
      </c>
      <c r="BC50" s="480"/>
      <c r="BD50" s="480" t="str">
        <f>IF(AND('Mapa final'!$K$40="Media",'Mapa final'!$O$40="Catastrófico"),CONCATENATE("R",'Mapa final'!$A$40),"")</f>
        <v/>
      </c>
      <c r="BE50" s="480"/>
      <c r="BF50" s="480" t="str">
        <f>IF(AND('Mapa final'!$K$43="Media",'Mapa final'!$O$43="Catastrófico"),CONCATENATE("R",'Mapa final'!$A$43),"")</f>
        <v/>
      </c>
      <c r="BG50" s="481"/>
      <c r="BH50" s="56"/>
      <c r="BI50" s="513"/>
      <c r="BJ50" s="514"/>
      <c r="BK50" s="514"/>
      <c r="BL50" s="514"/>
      <c r="BM50" s="514"/>
      <c r="BN50" s="515"/>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row>
    <row r="51" spans="1:100" ht="15" customHeight="1" x14ac:dyDescent="0.35">
      <c r="A51" s="56"/>
      <c r="B51" s="307"/>
      <c r="C51" s="307"/>
      <c r="D51" s="308"/>
      <c r="E51" s="468"/>
      <c r="F51" s="469"/>
      <c r="G51" s="469"/>
      <c r="H51" s="469"/>
      <c r="I51" s="474"/>
      <c r="J51" s="457"/>
      <c r="K51" s="458"/>
      <c r="L51" s="458"/>
      <c r="M51" s="458"/>
      <c r="N51" s="458"/>
      <c r="O51" s="458"/>
      <c r="P51" s="458"/>
      <c r="Q51" s="458"/>
      <c r="R51" s="458"/>
      <c r="S51" s="461"/>
      <c r="T51" s="457"/>
      <c r="U51" s="458"/>
      <c r="V51" s="458"/>
      <c r="W51" s="458"/>
      <c r="X51" s="458"/>
      <c r="Y51" s="458"/>
      <c r="Z51" s="458"/>
      <c r="AA51" s="458"/>
      <c r="AB51" s="458"/>
      <c r="AC51" s="461"/>
      <c r="AD51" s="457"/>
      <c r="AE51" s="458"/>
      <c r="AF51" s="458"/>
      <c r="AG51" s="458"/>
      <c r="AH51" s="458"/>
      <c r="AI51" s="458"/>
      <c r="AJ51" s="458"/>
      <c r="AK51" s="458"/>
      <c r="AL51" s="458"/>
      <c r="AM51" s="461"/>
      <c r="AN51" s="491"/>
      <c r="AO51" s="450"/>
      <c r="AP51" s="450"/>
      <c r="AQ51" s="450"/>
      <c r="AR51" s="450"/>
      <c r="AS51" s="450"/>
      <c r="AT51" s="450"/>
      <c r="AU51" s="450"/>
      <c r="AV51" s="450"/>
      <c r="AW51" s="490"/>
      <c r="AX51" s="482"/>
      <c r="AY51" s="480"/>
      <c r="AZ51" s="480"/>
      <c r="BA51" s="480"/>
      <c r="BB51" s="480"/>
      <c r="BC51" s="480"/>
      <c r="BD51" s="480"/>
      <c r="BE51" s="480"/>
      <c r="BF51" s="480"/>
      <c r="BG51" s="481"/>
      <c r="BH51" s="56"/>
      <c r="BI51" s="513"/>
      <c r="BJ51" s="514"/>
      <c r="BK51" s="514"/>
      <c r="BL51" s="514"/>
      <c r="BM51" s="514"/>
      <c r="BN51" s="515"/>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row>
    <row r="52" spans="1:100" ht="15" customHeight="1" x14ac:dyDescent="0.35">
      <c r="A52" s="56"/>
      <c r="B52" s="307"/>
      <c r="C52" s="307"/>
      <c r="D52" s="308"/>
      <c r="E52" s="468"/>
      <c r="F52" s="469"/>
      <c r="G52" s="469"/>
      <c r="H52" s="469"/>
      <c r="I52" s="474"/>
      <c r="J52" s="457" t="str">
        <f>IF(AND('Mapa final'!$K$46="Media",'Mapa final'!$O$46="Leve"),CONCATENATE("R",'Mapa final'!$A$46),"")</f>
        <v/>
      </c>
      <c r="K52" s="458"/>
      <c r="L52" s="458" t="str">
        <f>IF(AND('Mapa final'!$K$49="Media",'Mapa final'!$O$49="Leve"),CONCATENATE("R",'Mapa final'!$A$49),"")</f>
        <v/>
      </c>
      <c r="M52" s="458"/>
      <c r="N52" s="458" t="str">
        <f>IF(AND('Mapa final'!$K$52="Media",'Mapa final'!$O$52="Leve"),CONCATENATE("R",'Mapa final'!$A$52),"")</f>
        <v/>
      </c>
      <c r="O52" s="458"/>
      <c r="P52" s="458" t="str">
        <f>IF(AND('Mapa final'!$K$55="Media",'Mapa final'!$O$55="Leve"),CONCATENATE("R",'Mapa final'!$A$55),"")</f>
        <v/>
      </c>
      <c r="Q52" s="458"/>
      <c r="R52" s="458" t="str">
        <f>IF(AND('Mapa final'!$K$58="Media",'Mapa final'!$O$58="Leve"),CONCATENATE("R",'Mapa final'!$A$58),"")</f>
        <v/>
      </c>
      <c r="S52" s="461"/>
      <c r="T52" s="457" t="str">
        <f>IF(AND('Mapa final'!$K$46="Media",'Mapa final'!$O$46="Menor"),CONCATENATE("R",'Mapa final'!$A$46),"")</f>
        <v/>
      </c>
      <c r="U52" s="458"/>
      <c r="V52" s="458" t="str">
        <f>IF(AND('Mapa final'!$K$49="Media",'Mapa final'!$O$49="Menor"),CONCATENATE("R",'Mapa final'!$A$49),"")</f>
        <v/>
      </c>
      <c r="W52" s="458"/>
      <c r="X52" s="458" t="str">
        <f>IF(AND('Mapa final'!$K$52="Media",'Mapa final'!$O$52="Menor"),CONCATENATE("R",'Mapa final'!$A$52),"")</f>
        <v/>
      </c>
      <c r="Y52" s="458"/>
      <c r="Z52" s="458" t="str">
        <f>IF(AND('Mapa final'!$K$55="Media",'Mapa final'!$O$55="Menor"),CONCATENATE("R",'Mapa final'!$A$55),"")</f>
        <v/>
      </c>
      <c r="AA52" s="458"/>
      <c r="AB52" s="458" t="str">
        <f>IF(AND('Mapa final'!$K$58="Media",'Mapa final'!$O$58="Menor"),CONCATENATE("R",'Mapa final'!$A$58),"")</f>
        <v/>
      </c>
      <c r="AC52" s="461"/>
      <c r="AD52" s="457" t="str">
        <f>IF(AND('Mapa final'!$K$46="Media",'Mapa final'!$O$46="Moderado"),CONCATENATE("R",'Mapa final'!$A$46),"")</f>
        <v>R15</v>
      </c>
      <c r="AE52" s="458"/>
      <c r="AF52" s="458" t="str">
        <f>IF(AND('Mapa final'!$K$49="Media",'Mapa final'!$O$49="Moderado"),CONCATENATE("R",'Mapa final'!$A$49),"")</f>
        <v/>
      </c>
      <c r="AG52" s="458"/>
      <c r="AH52" s="458" t="str">
        <f>IF(AND('Mapa final'!$K$52="Media",'Mapa final'!$O$52="Moderado"),CONCATENATE("R",'Mapa final'!$A$52),"")</f>
        <v>R17</v>
      </c>
      <c r="AI52" s="458"/>
      <c r="AJ52" s="458" t="str">
        <f>IF(AND('Mapa final'!$K$55="Media",'Mapa final'!$O$55="Moderado"),CONCATENATE("R",'Mapa final'!$A$55),"")</f>
        <v>R18</v>
      </c>
      <c r="AK52" s="458"/>
      <c r="AL52" s="458" t="str">
        <f>IF(AND('Mapa final'!$K$58="Media",'Mapa final'!$O$58="Moderado"),CONCATENATE("R",'Mapa final'!$A$58),"")</f>
        <v/>
      </c>
      <c r="AM52" s="461"/>
      <c r="AN52" s="491" t="str">
        <f>IF(AND('Mapa final'!$K$46="Media",'Mapa final'!$O$46="Mayor"),CONCATENATE("R",'Mapa final'!$A$46),"")</f>
        <v/>
      </c>
      <c r="AO52" s="450"/>
      <c r="AP52" s="450" t="str">
        <f>IF(AND('Mapa final'!$K$49="Media",'Mapa final'!$O$49="Mayor"),CONCATENATE("R",'Mapa final'!$A$49),"")</f>
        <v/>
      </c>
      <c r="AQ52" s="450"/>
      <c r="AR52" s="450" t="str">
        <f>IF(AND('Mapa final'!$K$52="Media",'Mapa final'!$O$52="Mayor"),CONCATENATE("R",'Mapa final'!$A$52),"")</f>
        <v/>
      </c>
      <c r="AS52" s="450"/>
      <c r="AT52" s="450" t="str">
        <f>IF(AND('Mapa final'!$K$55="Media",'Mapa final'!$O$55="Mayor"),CONCATENATE("R",'Mapa final'!$A$55),"")</f>
        <v/>
      </c>
      <c r="AU52" s="450"/>
      <c r="AV52" s="450" t="str">
        <f>IF(AND('Mapa final'!$K$58="Media",'Mapa final'!$O$58="Mayor"),CONCATENATE("R",'Mapa final'!$A$58),"")</f>
        <v>R19</v>
      </c>
      <c r="AW52" s="490"/>
      <c r="AX52" s="482" t="str">
        <f>IF(AND('Mapa final'!$K$46="Media",'Mapa final'!$O$46="Catastrófico"),CONCATENATE("R",'Mapa final'!$A$46),"")</f>
        <v/>
      </c>
      <c r="AY52" s="480"/>
      <c r="AZ52" s="480" t="str">
        <f>IF(AND('Mapa final'!$K$49="Media",'Mapa final'!$O$49="Catastrófico"),CONCATENATE("R",'Mapa final'!$A$49),"")</f>
        <v/>
      </c>
      <c r="BA52" s="480"/>
      <c r="BB52" s="480" t="str">
        <f>IF(AND('Mapa final'!$K$52="Media",'Mapa final'!$O$52="Catastrófico"),CONCATENATE("R",'Mapa final'!$A$52),"")</f>
        <v/>
      </c>
      <c r="BC52" s="480"/>
      <c r="BD52" s="480" t="str">
        <f>IF(AND('Mapa final'!$K$55="Media",'Mapa final'!$O$55="Catastrófico"),CONCATENATE("R",'Mapa final'!$A$55),"")</f>
        <v/>
      </c>
      <c r="BE52" s="480"/>
      <c r="BF52" s="480" t="str">
        <f>IF(AND('Mapa final'!$K$58="Media",'Mapa final'!$O$58="Catastrófico"),CONCATENATE("R",'Mapa final'!$A$58),"")</f>
        <v/>
      </c>
      <c r="BG52" s="481"/>
      <c r="BH52" s="56"/>
      <c r="BI52" s="513"/>
      <c r="BJ52" s="514"/>
      <c r="BK52" s="514"/>
      <c r="BL52" s="514"/>
      <c r="BM52" s="514"/>
      <c r="BN52" s="515"/>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row>
    <row r="53" spans="1:100" ht="15" customHeight="1" thickBot="1" x14ac:dyDescent="0.4">
      <c r="A53" s="56"/>
      <c r="B53" s="307"/>
      <c r="C53" s="307"/>
      <c r="D53" s="308"/>
      <c r="E53" s="468"/>
      <c r="F53" s="469"/>
      <c r="G53" s="469"/>
      <c r="H53" s="469"/>
      <c r="I53" s="474"/>
      <c r="J53" s="457"/>
      <c r="K53" s="458"/>
      <c r="L53" s="458"/>
      <c r="M53" s="458"/>
      <c r="N53" s="458"/>
      <c r="O53" s="458"/>
      <c r="P53" s="458"/>
      <c r="Q53" s="458"/>
      <c r="R53" s="458"/>
      <c r="S53" s="461"/>
      <c r="T53" s="457"/>
      <c r="U53" s="458"/>
      <c r="V53" s="458"/>
      <c r="W53" s="458"/>
      <c r="X53" s="458"/>
      <c r="Y53" s="458"/>
      <c r="Z53" s="458"/>
      <c r="AA53" s="458"/>
      <c r="AB53" s="458"/>
      <c r="AC53" s="461"/>
      <c r="AD53" s="457"/>
      <c r="AE53" s="458"/>
      <c r="AF53" s="458"/>
      <c r="AG53" s="458"/>
      <c r="AH53" s="458"/>
      <c r="AI53" s="458"/>
      <c r="AJ53" s="458"/>
      <c r="AK53" s="458"/>
      <c r="AL53" s="458"/>
      <c r="AM53" s="461"/>
      <c r="AN53" s="491"/>
      <c r="AO53" s="450"/>
      <c r="AP53" s="450"/>
      <c r="AQ53" s="450"/>
      <c r="AR53" s="450"/>
      <c r="AS53" s="450"/>
      <c r="AT53" s="450"/>
      <c r="AU53" s="450"/>
      <c r="AV53" s="450"/>
      <c r="AW53" s="490"/>
      <c r="AX53" s="482"/>
      <c r="AY53" s="480"/>
      <c r="AZ53" s="480"/>
      <c r="BA53" s="480"/>
      <c r="BB53" s="480"/>
      <c r="BC53" s="480"/>
      <c r="BD53" s="480"/>
      <c r="BE53" s="480"/>
      <c r="BF53" s="480"/>
      <c r="BG53" s="481"/>
      <c r="BH53" s="56"/>
      <c r="BI53" s="516"/>
      <c r="BJ53" s="517"/>
      <c r="BK53" s="517"/>
      <c r="BL53" s="517"/>
      <c r="BM53" s="517"/>
      <c r="BN53" s="518"/>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row>
    <row r="54" spans="1:100" ht="15" customHeight="1" x14ac:dyDescent="0.35">
      <c r="A54" s="56"/>
      <c r="B54" s="307"/>
      <c r="C54" s="307"/>
      <c r="D54" s="308"/>
      <c r="E54" s="468"/>
      <c r="F54" s="469"/>
      <c r="G54" s="469"/>
      <c r="H54" s="469"/>
      <c r="I54" s="474"/>
      <c r="J54" s="457" t="str">
        <f>IF(AND('Mapa final'!$K$61="Media",'Mapa final'!$O$61="Leve"),CONCATENATE("R",'Mapa final'!$A$61),"")</f>
        <v/>
      </c>
      <c r="K54" s="458"/>
      <c r="L54" s="458" t="str">
        <f>IF(AND('Mapa final'!$K$64="Media",'Mapa final'!$O$64="Leve"),CONCATENATE("R",'Mapa final'!$A$64),"")</f>
        <v/>
      </c>
      <c r="M54" s="458"/>
      <c r="N54" s="458" t="str">
        <f>IF(AND('Mapa final'!$K$70="Media",'Mapa final'!$O$70="Leve"),CONCATENATE("R",'Mapa final'!$A$70),"")</f>
        <v/>
      </c>
      <c r="O54" s="458"/>
      <c r="P54" s="458" t="str">
        <f>IF(AND('Mapa final'!$K$73="Media",'Mapa final'!$O$73="Leve"),CONCATENATE("R",'Mapa final'!$A$73),"")</f>
        <v/>
      </c>
      <c r="Q54" s="458"/>
      <c r="R54" s="458" t="str">
        <f>IF(AND('Mapa final'!$K$76="Media",'Mapa final'!$O$76="Leve"),CONCATENATE("R",'Mapa final'!$A$76),"")</f>
        <v/>
      </c>
      <c r="S54" s="461"/>
      <c r="T54" s="457" t="str">
        <f>IF(AND('Mapa final'!$K$61="Media",'Mapa final'!$O$61="Menor"),CONCATENATE("R",'Mapa final'!$A$61),"")</f>
        <v/>
      </c>
      <c r="U54" s="458"/>
      <c r="V54" s="458" t="str">
        <f>IF(AND('Mapa final'!$K$64="Media",'Mapa final'!$O$64="Menor"),CONCATENATE("R",'Mapa final'!$A$64),"")</f>
        <v/>
      </c>
      <c r="W54" s="458"/>
      <c r="X54" s="458" t="str">
        <f>IF(AND('Mapa final'!$K$70="Media",'Mapa final'!$O$70="Menor"),CONCATENATE("R",'Mapa final'!$A$70),"")</f>
        <v/>
      </c>
      <c r="Y54" s="458"/>
      <c r="Z54" s="458" t="str">
        <f>IF(AND('Mapa final'!$K$73="Media",'Mapa final'!$O$73="Menor"),CONCATENATE("R",'Mapa final'!$A$73),"")</f>
        <v/>
      </c>
      <c r="AA54" s="458"/>
      <c r="AB54" s="458" t="str">
        <f>IF(AND('Mapa final'!$K$76="Media",'Mapa final'!$O$76="Menor"),CONCATENATE("R",'Mapa final'!$A$76),"")</f>
        <v/>
      </c>
      <c r="AC54" s="461"/>
      <c r="AD54" s="457" t="str">
        <f>IF(AND('Mapa final'!$K$61="Media",'Mapa final'!$O$61="Moderado"),CONCATENATE("R",'Mapa final'!$A$61),"")</f>
        <v/>
      </c>
      <c r="AE54" s="458"/>
      <c r="AF54" s="458" t="str">
        <f>IF(AND('Mapa final'!$K$64="Media",'Mapa final'!$O$64="Moderado"),CONCATENATE("R",'Mapa final'!$A$64),"")</f>
        <v/>
      </c>
      <c r="AG54" s="458"/>
      <c r="AH54" s="458" t="str">
        <f>IF(AND('Mapa final'!$K$70="Media",'Mapa final'!$O$70="Moderado"),CONCATENATE("R",'Mapa final'!$A$70),"")</f>
        <v/>
      </c>
      <c r="AI54" s="458"/>
      <c r="AJ54" s="458" t="str">
        <f>IF(AND('Mapa final'!$K$73="Media",'Mapa final'!$O$73="Moderado"),CONCATENATE("R",'Mapa final'!$A$73),"")</f>
        <v/>
      </c>
      <c r="AK54" s="458"/>
      <c r="AL54" s="458" t="str">
        <f>IF(AND('Mapa final'!$K$76="Media",'Mapa final'!$O$76="Moderado"),CONCATENATE("R",'Mapa final'!$A$76),"")</f>
        <v/>
      </c>
      <c r="AM54" s="461"/>
      <c r="AN54" s="491" t="str">
        <f>IF(AND('Mapa final'!$K$61="Media",'Mapa final'!$O$61="Mayor"),CONCATENATE("R",'Mapa final'!$A$61),"")</f>
        <v/>
      </c>
      <c r="AO54" s="450"/>
      <c r="AP54" s="450" t="str">
        <f>IF(AND('Mapa final'!$K$64="Media",'Mapa final'!$O$64="Mayor"),CONCATENATE("R",'Mapa final'!$A$64),"")</f>
        <v/>
      </c>
      <c r="AQ54" s="450"/>
      <c r="AR54" s="450" t="str">
        <f>IF(AND('Mapa final'!$K$70="Media",'Mapa final'!$O$70="Mayor"),CONCATENATE("R",'Mapa final'!$A$70),"")</f>
        <v>R23</v>
      </c>
      <c r="AS54" s="450"/>
      <c r="AT54" s="450" t="str">
        <f>IF(AND('Mapa final'!$K$73="Media",'Mapa final'!$O$73="Mayor"),CONCATENATE("R",'Mapa final'!$A$73),"")</f>
        <v/>
      </c>
      <c r="AU54" s="450"/>
      <c r="AV54" s="450" t="str">
        <f>IF(AND('Mapa final'!$K$76="Media",'Mapa final'!$O$76="Mayor"),CONCATENATE("R",'Mapa final'!$A$76),"")</f>
        <v/>
      </c>
      <c r="AW54" s="490"/>
      <c r="AX54" s="482" t="str">
        <f>IF(AND('Mapa final'!$K$61="Media",'Mapa final'!$O$61="Catastrófico"),CONCATENATE("R",'Mapa final'!$A$61),"")</f>
        <v/>
      </c>
      <c r="AY54" s="480"/>
      <c r="AZ54" s="480" t="str">
        <f>IF(AND('Mapa final'!$K$64="Media",'Mapa final'!$O$64="Catastrófico"),CONCATENATE("R",'Mapa final'!$A$64),"")</f>
        <v/>
      </c>
      <c r="BA54" s="480"/>
      <c r="BB54" s="480" t="str">
        <f>IF(AND('Mapa final'!$K$70="Media",'Mapa final'!$O$70="Catastrófico"),CONCATENATE("R",'Mapa final'!$A$70),"")</f>
        <v/>
      </c>
      <c r="BC54" s="480"/>
      <c r="BD54" s="480" t="str">
        <f>IF(AND('Mapa final'!$K$73="Media",'Mapa final'!$O$73="Catastrófico"),CONCATENATE("R",'Mapa final'!$A$73),"")</f>
        <v/>
      </c>
      <c r="BE54" s="480"/>
      <c r="BF54" s="480" t="str">
        <f>IF(AND('Mapa final'!$K$76="Media",'Mapa final'!$O$76="Catastrófico"),CONCATENATE("R",'Mapa final'!$A$76),"")</f>
        <v/>
      </c>
      <c r="BG54" s="481"/>
      <c r="BH54" s="56"/>
      <c r="BI54" s="519" t="s">
        <v>75</v>
      </c>
      <c r="BJ54" s="520"/>
      <c r="BK54" s="520"/>
      <c r="BL54" s="520"/>
      <c r="BM54" s="520"/>
      <c r="BN54" s="521"/>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row>
    <row r="55" spans="1:100" ht="15" customHeight="1" x14ac:dyDescent="0.35">
      <c r="A55" s="56"/>
      <c r="B55" s="307"/>
      <c r="C55" s="307"/>
      <c r="D55" s="308"/>
      <c r="E55" s="468"/>
      <c r="F55" s="469"/>
      <c r="G55" s="469"/>
      <c r="H55" s="469"/>
      <c r="I55" s="474"/>
      <c r="J55" s="457"/>
      <c r="K55" s="458"/>
      <c r="L55" s="458"/>
      <c r="M55" s="458"/>
      <c r="N55" s="458"/>
      <c r="O55" s="458"/>
      <c r="P55" s="458"/>
      <c r="Q55" s="458"/>
      <c r="R55" s="458"/>
      <c r="S55" s="461"/>
      <c r="T55" s="457"/>
      <c r="U55" s="458"/>
      <c r="V55" s="458"/>
      <c r="W55" s="458"/>
      <c r="X55" s="458"/>
      <c r="Y55" s="458"/>
      <c r="Z55" s="458"/>
      <c r="AA55" s="458"/>
      <c r="AB55" s="458"/>
      <c r="AC55" s="461"/>
      <c r="AD55" s="457"/>
      <c r="AE55" s="458"/>
      <c r="AF55" s="458"/>
      <c r="AG55" s="458"/>
      <c r="AH55" s="458"/>
      <c r="AI55" s="458"/>
      <c r="AJ55" s="458"/>
      <c r="AK55" s="458"/>
      <c r="AL55" s="458"/>
      <c r="AM55" s="461"/>
      <c r="AN55" s="491"/>
      <c r="AO55" s="450"/>
      <c r="AP55" s="450"/>
      <c r="AQ55" s="450"/>
      <c r="AR55" s="450"/>
      <c r="AS55" s="450"/>
      <c r="AT55" s="450"/>
      <c r="AU55" s="450"/>
      <c r="AV55" s="450"/>
      <c r="AW55" s="490"/>
      <c r="AX55" s="482"/>
      <c r="AY55" s="480"/>
      <c r="AZ55" s="480"/>
      <c r="BA55" s="480"/>
      <c r="BB55" s="480"/>
      <c r="BC55" s="480"/>
      <c r="BD55" s="480"/>
      <c r="BE55" s="480"/>
      <c r="BF55" s="480"/>
      <c r="BG55" s="481"/>
      <c r="BH55" s="56"/>
      <c r="BI55" s="522"/>
      <c r="BJ55" s="523"/>
      <c r="BK55" s="523"/>
      <c r="BL55" s="523"/>
      <c r="BM55" s="523"/>
      <c r="BN55" s="524"/>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row>
    <row r="56" spans="1:100" ht="15" customHeight="1" x14ac:dyDescent="0.35">
      <c r="A56" s="56"/>
      <c r="B56" s="307"/>
      <c r="C56" s="307"/>
      <c r="D56" s="308"/>
      <c r="E56" s="468"/>
      <c r="F56" s="469"/>
      <c r="G56" s="469"/>
      <c r="H56" s="469"/>
      <c r="I56" s="474"/>
      <c r="J56" s="457" t="str">
        <f>IF(AND('Mapa final'!$K$79="Media",'Mapa final'!$O$79="Leve"),CONCATENATE("R",'Mapa final'!$A$79),"")</f>
        <v/>
      </c>
      <c r="K56" s="458"/>
      <c r="L56" s="458" t="str">
        <f>IF(AND('Mapa final'!$K$82="Media",'Mapa final'!$O$82="Leve"),CONCATENATE("R",'Mapa final'!$A$82),"")</f>
        <v/>
      </c>
      <c r="M56" s="458"/>
      <c r="N56" s="458" t="str">
        <f>IF(AND('Mapa final'!$K$85="Media",'Mapa final'!$O$85="Leve"),CONCATENATE("R",'Mapa final'!$A$85),"")</f>
        <v/>
      </c>
      <c r="O56" s="458"/>
      <c r="P56" s="458" t="str">
        <f>IF(AND('Mapa final'!$K$88="Media",'Mapa final'!$O$88="Leve"),CONCATENATE("R",'Mapa final'!$A$88),"")</f>
        <v/>
      </c>
      <c r="Q56" s="458"/>
      <c r="R56" s="458" t="str">
        <f>IF(AND('Mapa final'!$K$91="Media",'Mapa final'!$O$91="Leve"),CONCATENATE("R",'Mapa final'!$A$91),"")</f>
        <v/>
      </c>
      <c r="S56" s="461"/>
      <c r="T56" s="457" t="str">
        <f>IF(AND('Mapa final'!$K$79="Media",'Mapa final'!$O$79="Menor"),CONCATENATE("R",'Mapa final'!$A$79),"")</f>
        <v/>
      </c>
      <c r="U56" s="458"/>
      <c r="V56" s="458" t="str">
        <f>IF(AND('Mapa final'!$K$82="Media",'Mapa final'!$O$82="Menor"),CONCATENATE("R",'Mapa final'!$A$82),"")</f>
        <v/>
      </c>
      <c r="W56" s="458"/>
      <c r="X56" s="458" t="str">
        <f>IF(AND('Mapa final'!$K$85="Media",'Mapa final'!$O$85="Menor"),CONCATENATE("R",'Mapa final'!$A$85),"")</f>
        <v/>
      </c>
      <c r="Y56" s="458"/>
      <c r="Z56" s="458" t="str">
        <f>IF(AND('Mapa final'!$K$88="Media",'Mapa final'!$O$88="Menor"),CONCATENATE("R",'Mapa final'!$A$88),"")</f>
        <v/>
      </c>
      <c r="AA56" s="458"/>
      <c r="AB56" s="458" t="str">
        <f>IF(AND('Mapa final'!$K$91="Media",'Mapa final'!$O$91="Menor"),CONCATENATE("R",'Mapa final'!$A$91),"")</f>
        <v/>
      </c>
      <c r="AC56" s="461"/>
      <c r="AD56" s="457" t="str">
        <f>IF(AND('Mapa final'!$K$79="Media",'Mapa final'!$O$79="Moderado"),CONCATENATE("R",'Mapa final'!$A$79),"")</f>
        <v/>
      </c>
      <c r="AE56" s="458"/>
      <c r="AF56" s="458" t="str">
        <f>IF(AND('Mapa final'!$K$82="Media",'Mapa final'!$O$82="Moderado"),CONCATENATE("R",'Mapa final'!$A$82),"")</f>
        <v/>
      </c>
      <c r="AG56" s="458"/>
      <c r="AH56" s="458" t="str">
        <f>IF(AND('Mapa final'!$K$85="Media",'Mapa final'!$O$85="Moderado"),CONCATENATE("R",'Mapa final'!$A$85),"")</f>
        <v/>
      </c>
      <c r="AI56" s="458"/>
      <c r="AJ56" s="458" t="str">
        <f>IF(AND('Mapa final'!$K$88="Media",'Mapa final'!$O$88="Moderado"),CONCATENATE("R",'Mapa final'!$A$88),"")</f>
        <v/>
      </c>
      <c r="AK56" s="458"/>
      <c r="AL56" s="458" t="str">
        <f>IF(AND('Mapa final'!$K$91="Media",'Mapa final'!$O$91="Moderado"),CONCATENATE("R",'Mapa final'!$A$91),"")</f>
        <v/>
      </c>
      <c r="AM56" s="461"/>
      <c r="AN56" s="491" t="str">
        <f>IF(AND('Mapa final'!$K$79="Media",'Mapa final'!$O$79="Mayor"),CONCATENATE("R",'Mapa final'!$A$79),"")</f>
        <v/>
      </c>
      <c r="AO56" s="450"/>
      <c r="AP56" s="450" t="str">
        <f>IF(AND('Mapa final'!$K$82="Media",'Mapa final'!$O$82="Mayor"),CONCATENATE("R",'Mapa final'!$A$82),"")</f>
        <v/>
      </c>
      <c r="AQ56" s="450"/>
      <c r="AR56" s="450" t="str">
        <f>IF(AND('Mapa final'!$K$85="Media",'Mapa final'!$O$85="Mayor"),CONCATENATE("R",'Mapa final'!$A$85),"")</f>
        <v>R28</v>
      </c>
      <c r="AS56" s="450"/>
      <c r="AT56" s="450" t="str">
        <f>IF(AND('Mapa final'!$K$88="Media",'Mapa final'!$O$88="Mayor"),CONCATENATE("R",'Mapa final'!$A$88),"")</f>
        <v>R29</v>
      </c>
      <c r="AU56" s="450"/>
      <c r="AV56" s="450" t="str">
        <f>IF(AND('Mapa final'!$K$91="Media",'Mapa final'!$O$91="Mayor"),CONCATENATE("R",'Mapa final'!$A$91),"")</f>
        <v/>
      </c>
      <c r="AW56" s="490"/>
      <c r="AX56" s="482" t="str">
        <f>IF(AND('Mapa final'!$K$79="Media",'Mapa final'!$O$79="Catastrófico"),CONCATENATE("R",'Mapa final'!$A$79),"")</f>
        <v/>
      </c>
      <c r="AY56" s="480"/>
      <c r="AZ56" s="480" t="str">
        <f>IF(AND('Mapa final'!$K$82="Media",'Mapa final'!$O$82="Catastrófico"),CONCATENATE("R",'Mapa final'!$A$82),"")</f>
        <v/>
      </c>
      <c r="BA56" s="480"/>
      <c r="BB56" s="480" t="str">
        <f>IF(AND('Mapa final'!$K$85="Media",'Mapa final'!$O$85="Catastrófico"),CONCATENATE("R",'Mapa final'!$A$85),"")</f>
        <v/>
      </c>
      <c r="BC56" s="480"/>
      <c r="BD56" s="480" t="str">
        <f>IF(AND('Mapa final'!$K$88="Media",'Mapa final'!$O$88="Catastrófico"),CONCATENATE("R",'Mapa final'!$A$88),"")</f>
        <v/>
      </c>
      <c r="BE56" s="480"/>
      <c r="BF56" s="480" t="str">
        <f>IF(AND('Mapa final'!$K$91="Media",'Mapa final'!$O$91="Catastrófico"),CONCATENATE("R",'Mapa final'!$A$91),"")</f>
        <v/>
      </c>
      <c r="BG56" s="481"/>
      <c r="BH56" s="56"/>
      <c r="BI56" s="522"/>
      <c r="BJ56" s="523"/>
      <c r="BK56" s="523"/>
      <c r="BL56" s="523"/>
      <c r="BM56" s="523"/>
      <c r="BN56" s="524"/>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row>
    <row r="57" spans="1:100" ht="15" customHeight="1" x14ac:dyDescent="0.35">
      <c r="A57" s="56"/>
      <c r="B57" s="307"/>
      <c r="C57" s="307"/>
      <c r="D57" s="308"/>
      <c r="E57" s="468"/>
      <c r="F57" s="469"/>
      <c r="G57" s="469"/>
      <c r="H57" s="469"/>
      <c r="I57" s="474"/>
      <c r="J57" s="457"/>
      <c r="K57" s="458"/>
      <c r="L57" s="458"/>
      <c r="M57" s="458"/>
      <c r="N57" s="458"/>
      <c r="O57" s="458"/>
      <c r="P57" s="458"/>
      <c r="Q57" s="458"/>
      <c r="R57" s="458"/>
      <c r="S57" s="461"/>
      <c r="T57" s="457"/>
      <c r="U57" s="458"/>
      <c r="V57" s="458"/>
      <c r="W57" s="458"/>
      <c r="X57" s="458"/>
      <c r="Y57" s="458"/>
      <c r="Z57" s="458"/>
      <c r="AA57" s="458"/>
      <c r="AB57" s="458"/>
      <c r="AC57" s="461"/>
      <c r="AD57" s="457"/>
      <c r="AE57" s="458"/>
      <c r="AF57" s="458"/>
      <c r="AG57" s="458"/>
      <c r="AH57" s="458"/>
      <c r="AI57" s="458"/>
      <c r="AJ57" s="458"/>
      <c r="AK57" s="458"/>
      <c r="AL57" s="458"/>
      <c r="AM57" s="461"/>
      <c r="AN57" s="491"/>
      <c r="AO57" s="450"/>
      <c r="AP57" s="450"/>
      <c r="AQ57" s="450"/>
      <c r="AR57" s="450"/>
      <c r="AS57" s="450"/>
      <c r="AT57" s="450"/>
      <c r="AU57" s="450"/>
      <c r="AV57" s="450"/>
      <c r="AW57" s="490"/>
      <c r="AX57" s="482"/>
      <c r="AY57" s="480"/>
      <c r="AZ57" s="480"/>
      <c r="BA57" s="480"/>
      <c r="BB57" s="480"/>
      <c r="BC57" s="480"/>
      <c r="BD57" s="480"/>
      <c r="BE57" s="480"/>
      <c r="BF57" s="480"/>
      <c r="BG57" s="481"/>
      <c r="BH57" s="56"/>
      <c r="BI57" s="522"/>
      <c r="BJ57" s="523"/>
      <c r="BK57" s="523"/>
      <c r="BL57" s="523"/>
      <c r="BM57" s="523"/>
      <c r="BN57" s="524"/>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row>
    <row r="58" spans="1:100" ht="15" customHeight="1" x14ac:dyDescent="0.35">
      <c r="A58" s="56"/>
      <c r="B58" s="307"/>
      <c r="C58" s="307"/>
      <c r="D58" s="308"/>
      <c r="E58" s="468"/>
      <c r="F58" s="469"/>
      <c r="G58" s="469"/>
      <c r="H58" s="469"/>
      <c r="I58" s="474"/>
      <c r="J58" s="457" t="str">
        <f>IF(AND('Mapa final'!$K$94="Media",'Mapa final'!$O$94="Leve"),CONCATENATE("R",'Mapa final'!$A$94),"")</f>
        <v/>
      </c>
      <c r="K58" s="458"/>
      <c r="L58" s="458" t="e">
        <f>IF(AND('Mapa final'!#REF!="Media",'Mapa final'!#REF!="Leve"),CONCATENATE("R",'Mapa final'!#REF!),"")</f>
        <v>#REF!</v>
      </c>
      <c r="M58" s="458"/>
      <c r="N58" s="458" t="str">
        <f>IF(AND('Mapa final'!$K$97="Media",'Mapa final'!$O$97="Leve"),CONCATENATE("R",'Mapa final'!$A$97),"")</f>
        <v/>
      </c>
      <c r="O58" s="458"/>
      <c r="P58" s="458" t="str">
        <f>IF(AND('Mapa final'!$K$100="Media",'Mapa final'!$O$100="Leve"),CONCATENATE("R",'Mapa final'!$A$100),"")</f>
        <v/>
      </c>
      <c r="Q58" s="458"/>
      <c r="R58" s="458" t="str">
        <f>IF(AND('Mapa final'!$K$103="Media",'Mapa final'!$O$103="Leve"),CONCATENATE("R",'Mapa final'!$A$103),"")</f>
        <v/>
      </c>
      <c r="S58" s="461"/>
      <c r="T58" s="457" t="str">
        <f>IF(AND('Mapa final'!$K$94="Media",'Mapa final'!$O$94="Menor"),CONCATENATE("R",'Mapa final'!$A$94),"")</f>
        <v/>
      </c>
      <c r="U58" s="458"/>
      <c r="V58" s="458" t="e">
        <f>IF(AND('Mapa final'!#REF!="Media",'Mapa final'!#REF!="Menor"),CONCATENATE("R",'Mapa final'!#REF!),"")</f>
        <v>#REF!</v>
      </c>
      <c r="W58" s="458"/>
      <c r="X58" s="458" t="str">
        <f>IF(AND('Mapa final'!$K$97="Media",'Mapa final'!$O$97="Menor"),CONCATENATE("R",'Mapa final'!$A$97),"")</f>
        <v/>
      </c>
      <c r="Y58" s="458"/>
      <c r="Z58" s="458" t="str">
        <f>IF(AND('Mapa final'!$K$100="Media",'Mapa final'!$O$100="Menor"),CONCATENATE("R",'Mapa final'!$A$100),"")</f>
        <v/>
      </c>
      <c r="AA58" s="458"/>
      <c r="AB58" s="458" t="str">
        <f>IF(AND('Mapa final'!$K$103="Media",'Mapa final'!$O$103="Menor"),CONCATENATE("R",'Mapa final'!$A$103),"")</f>
        <v/>
      </c>
      <c r="AC58" s="461"/>
      <c r="AD58" s="457" t="str">
        <f>IF(AND('Mapa final'!$K$94="Media",'Mapa final'!$O$94="Moderado"),CONCATENATE("R",'Mapa final'!$A$94),"")</f>
        <v/>
      </c>
      <c r="AE58" s="458"/>
      <c r="AF58" s="458" t="e">
        <f>IF(AND('Mapa final'!#REF!="Media",'Mapa final'!#REF!="Moderado"),CONCATENATE("R",'Mapa final'!#REF!),"")</f>
        <v>#REF!</v>
      </c>
      <c r="AG58" s="458"/>
      <c r="AH58" s="458" t="str">
        <f>IF(AND('Mapa final'!$K$97="Media",'Mapa final'!$O$97="Moderado"),CONCATENATE("R",'Mapa final'!$A$97),"")</f>
        <v/>
      </c>
      <c r="AI58" s="458"/>
      <c r="AJ58" s="458" t="str">
        <f>IF(AND('Mapa final'!$K$100="Media",'Mapa final'!$O$100="Moderado"),CONCATENATE("R",'Mapa final'!$A$100),"")</f>
        <v>R33</v>
      </c>
      <c r="AK58" s="458"/>
      <c r="AL58" s="458" t="str">
        <f>IF(AND('Mapa final'!$K$103="Media",'Mapa final'!$O$103="Moderado"),CONCATENATE("R",'Mapa final'!$A$103),"")</f>
        <v>R34</v>
      </c>
      <c r="AM58" s="461"/>
      <c r="AN58" s="491" t="str">
        <f>IF(AND('Mapa final'!$K$94="Media",'Mapa final'!$O$94="Mayor"),CONCATENATE("R",'Mapa final'!$A$94),"")</f>
        <v/>
      </c>
      <c r="AO58" s="450"/>
      <c r="AP58" s="450" t="e">
        <f>IF(AND('Mapa final'!#REF!="Media",'Mapa final'!#REF!="Mayor"),CONCATENATE("R",'Mapa final'!#REF!),"")</f>
        <v>#REF!</v>
      </c>
      <c r="AQ58" s="450"/>
      <c r="AR58" s="450" t="str">
        <f>IF(AND('Mapa final'!$K$97="Media",'Mapa final'!$O$97="Mayor"),CONCATENATE("R",'Mapa final'!$A$97),"")</f>
        <v/>
      </c>
      <c r="AS58" s="450"/>
      <c r="AT58" s="450" t="str">
        <f>IF(AND('Mapa final'!$K$100="Media",'Mapa final'!$O$100="Mayor"),CONCATENATE("R",'Mapa final'!$A$100),"")</f>
        <v/>
      </c>
      <c r="AU58" s="450"/>
      <c r="AV58" s="450" t="str">
        <f>IF(AND('Mapa final'!$K$103="Media",'Mapa final'!$O$103="Mayor"),CONCATENATE("R",'Mapa final'!$A$103),"")</f>
        <v/>
      </c>
      <c r="AW58" s="490"/>
      <c r="AX58" s="482" t="str">
        <f>IF(AND('Mapa final'!$K$94="Media",'Mapa final'!$O$94="Catastrófico"),CONCATENATE("R",'Mapa final'!$A$94),"")</f>
        <v/>
      </c>
      <c r="AY58" s="480"/>
      <c r="AZ58" s="480" t="e">
        <f>IF(AND('Mapa final'!#REF!="Media",'Mapa final'!#REF!="Catastrófico"),CONCATENATE("R",'Mapa final'!#REF!),"")</f>
        <v>#REF!</v>
      </c>
      <c r="BA58" s="480"/>
      <c r="BB58" s="480" t="str">
        <f>IF(AND('Mapa final'!$K$97="Media",'Mapa final'!$O$97="Catastrófico"),CONCATENATE("R",'Mapa final'!$A$97),"")</f>
        <v/>
      </c>
      <c r="BC58" s="480"/>
      <c r="BD58" s="480" t="str">
        <f>IF(AND('Mapa final'!$K$100="Media",'Mapa final'!$O$100="Catastrófico"),CONCATENATE("R",'Mapa final'!$A$100),"")</f>
        <v/>
      </c>
      <c r="BE58" s="480"/>
      <c r="BF58" s="480" t="str">
        <f>IF(AND('Mapa final'!$K$103="Media",'Mapa final'!$O$103="Catastrófico"),CONCATENATE("R",'Mapa final'!$A$103),"")</f>
        <v/>
      </c>
      <c r="BG58" s="481"/>
      <c r="BH58" s="56"/>
      <c r="BI58" s="522"/>
      <c r="BJ58" s="523"/>
      <c r="BK58" s="523"/>
      <c r="BL58" s="523"/>
      <c r="BM58" s="523"/>
      <c r="BN58" s="524"/>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row>
    <row r="59" spans="1:100" ht="15" customHeight="1" x14ac:dyDescent="0.35">
      <c r="A59" s="56"/>
      <c r="B59" s="307"/>
      <c r="C59" s="307"/>
      <c r="D59" s="308"/>
      <c r="E59" s="468"/>
      <c r="F59" s="469"/>
      <c r="G59" s="469"/>
      <c r="H59" s="469"/>
      <c r="I59" s="474"/>
      <c r="J59" s="457"/>
      <c r="K59" s="458"/>
      <c r="L59" s="458"/>
      <c r="M59" s="458"/>
      <c r="N59" s="458"/>
      <c r="O59" s="458"/>
      <c r="P59" s="458"/>
      <c r="Q59" s="458"/>
      <c r="R59" s="458"/>
      <c r="S59" s="461"/>
      <c r="T59" s="457"/>
      <c r="U59" s="458"/>
      <c r="V59" s="458"/>
      <c r="W59" s="458"/>
      <c r="X59" s="458"/>
      <c r="Y59" s="458"/>
      <c r="Z59" s="458"/>
      <c r="AA59" s="458"/>
      <c r="AB59" s="458"/>
      <c r="AC59" s="461"/>
      <c r="AD59" s="457"/>
      <c r="AE59" s="458"/>
      <c r="AF59" s="458"/>
      <c r="AG59" s="458"/>
      <c r="AH59" s="458"/>
      <c r="AI59" s="458"/>
      <c r="AJ59" s="458"/>
      <c r="AK59" s="458"/>
      <c r="AL59" s="458"/>
      <c r="AM59" s="461"/>
      <c r="AN59" s="491"/>
      <c r="AO59" s="450"/>
      <c r="AP59" s="450"/>
      <c r="AQ59" s="450"/>
      <c r="AR59" s="450"/>
      <c r="AS59" s="450"/>
      <c r="AT59" s="450"/>
      <c r="AU59" s="450"/>
      <c r="AV59" s="450"/>
      <c r="AW59" s="490"/>
      <c r="AX59" s="482"/>
      <c r="AY59" s="480"/>
      <c r="AZ59" s="480"/>
      <c r="BA59" s="480"/>
      <c r="BB59" s="480"/>
      <c r="BC59" s="480"/>
      <c r="BD59" s="480"/>
      <c r="BE59" s="480"/>
      <c r="BF59" s="480"/>
      <c r="BG59" s="481"/>
      <c r="BH59" s="56"/>
      <c r="BI59" s="522"/>
      <c r="BJ59" s="523"/>
      <c r="BK59" s="523"/>
      <c r="BL59" s="523"/>
      <c r="BM59" s="523"/>
      <c r="BN59" s="524"/>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row>
    <row r="60" spans="1:100" ht="15" customHeight="1" x14ac:dyDescent="0.35">
      <c r="A60" s="56"/>
      <c r="B60" s="307"/>
      <c r="C60" s="307"/>
      <c r="D60" s="308"/>
      <c r="E60" s="468"/>
      <c r="F60" s="469"/>
      <c r="G60" s="469"/>
      <c r="H60" s="469"/>
      <c r="I60" s="474"/>
      <c r="J60" s="457" t="str">
        <f>IF(AND('Mapa final'!$K$106="Media",'Mapa final'!$O$106="Leve"),CONCATENATE("R",'Mapa final'!$A$106),"")</f>
        <v/>
      </c>
      <c r="K60" s="458"/>
      <c r="L60" s="458" t="str">
        <f>IF(AND('Mapa final'!$K$109="Media",'Mapa final'!$O$109="Leve"),CONCATENATE("R",'Mapa final'!$A$109),"")</f>
        <v/>
      </c>
      <c r="M60" s="458"/>
      <c r="N60" s="458" t="str">
        <f>IF(AND('Mapa final'!$K$112="Media",'Mapa final'!$O$112="Leve"),CONCATENATE("R",'Mapa final'!$A$112),"")</f>
        <v/>
      </c>
      <c r="O60" s="458"/>
      <c r="P60" s="458" t="str">
        <f>IF(AND('Mapa final'!$K$115="Media",'Mapa final'!$O$115="Leve"),CONCATENATE("R",'Mapa final'!$A$115),"")</f>
        <v/>
      </c>
      <c r="Q60" s="458"/>
      <c r="R60" s="458" t="str">
        <f>IF(AND('Mapa final'!$K$118="Media",'Mapa final'!$O$118="Leve"),CONCATENATE("R",'Mapa final'!$A$118),"")</f>
        <v/>
      </c>
      <c r="S60" s="461"/>
      <c r="T60" s="457" t="str">
        <f>IF(AND('Mapa final'!$K$106="Media",'Mapa final'!$O$106="Menor"),CONCATENATE("R",'Mapa final'!$A$106),"")</f>
        <v/>
      </c>
      <c r="U60" s="458"/>
      <c r="V60" s="458" t="str">
        <f>IF(AND('Mapa final'!$K$109="Media",'Mapa final'!$O$109="Menor"),CONCATENATE("R",'Mapa final'!$A$109),"")</f>
        <v>R36</v>
      </c>
      <c r="W60" s="458"/>
      <c r="X60" s="458" t="str">
        <f>IF(AND('Mapa final'!$K$112="Media",'Mapa final'!$O$112="Menor"),CONCATENATE("R",'Mapa final'!$A$112),"")</f>
        <v/>
      </c>
      <c r="Y60" s="458"/>
      <c r="Z60" s="458" t="str">
        <f>IF(AND('Mapa final'!$K$115="Media",'Mapa final'!$O$115="Menor"),CONCATENATE("R",'Mapa final'!$A$115),"")</f>
        <v/>
      </c>
      <c r="AA60" s="458"/>
      <c r="AB60" s="458" t="str">
        <f>IF(AND('Mapa final'!$K$118="Media",'Mapa final'!$O$118="Menor"),CONCATENATE("R",'Mapa final'!$A$118),"")</f>
        <v/>
      </c>
      <c r="AC60" s="461"/>
      <c r="AD60" s="457" t="str">
        <f>IF(AND('Mapa final'!$K$106="Media",'Mapa final'!$O$106="Moderado"),CONCATENATE("R",'Mapa final'!$A$106),"")</f>
        <v/>
      </c>
      <c r="AE60" s="458"/>
      <c r="AF60" s="458" t="str">
        <f>IF(AND('Mapa final'!$K$109="Media",'Mapa final'!$O$109="Moderado"),CONCATENATE("R",'Mapa final'!$A$109),"")</f>
        <v/>
      </c>
      <c r="AG60" s="458"/>
      <c r="AH60" s="458" t="str">
        <f>IF(AND('Mapa final'!$K$112="Media",'Mapa final'!$O$112="Moderado"),CONCATENATE("R",'Mapa final'!$A$112),"")</f>
        <v/>
      </c>
      <c r="AI60" s="458"/>
      <c r="AJ60" s="458" t="str">
        <f>IF(AND('Mapa final'!$K$115="Media",'Mapa final'!$O$115="Moderado"),CONCATENATE("R",'Mapa final'!$A$115),"")</f>
        <v/>
      </c>
      <c r="AK60" s="458"/>
      <c r="AL60" s="458" t="str">
        <f>IF(AND('Mapa final'!$K$118="Media",'Mapa final'!$O$118="Moderado"),CONCATENATE("R",'Mapa final'!$A$118),"")</f>
        <v>R39</v>
      </c>
      <c r="AM60" s="461"/>
      <c r="AN60" s="491" t="str">
        <f>IF(AND('Mapa final'!$K$106="Media",'Mapa final'!$O$106="Mayor"),CONCATENATE("R",'Mapa final'!$A$106),"")</f>
        <v>R35</v>
      </c>
      <c r="AO60" s="450"/>
      <c r="AP60" s="450" t="str">
        <f>IF(AND('Mapa final'!$K$109="Media",'Mapa final'!$O$109="Mayor"),CONCATENATE("R",'Mapa final'!$A$109),"")</f>
        <v/>
      </c>
      <c r="AQ60" s="450"/>
      <c r="AR60" s="450" t="str">
        <f>IF(AND('Mapa final'!$K$112="Media",'Mapa final'!$O$112="Mayor"),CONCATENATE("R",'Mapa final'!$A$112),"")</f>
        <v/>
      </c>
      <c r="AS60" s="450"/>
      <c r="AT60" s="450" t="str">
        <f>IF(AND('Mapa final'!$K$115="Media",'Mapa final'!$O$115="Mayor"),CONCATENATE("R",'Mapa final'!$A$115),"")</f>
        <v/>
      </c>
      <c r="AU60" s="450"/>
      <c r="AV60" s="450" t="str">
        <f>IF(AND('Mapa final'!$K$118="Media",'Mapa final'!$O$118="Mayor"),CONCATENATE("R",'Mapa final'!$A$118),"")</f>
        <v/>
      </c>
      <c r="AW60" s="490"/>
      <c r="AX60" s="482" t="str">
        <f>IF(AND('Mapa final'!$K$106="Media",'Mapa final'!$O$106="Catastrófico"),CONCATENATE("R",'Mapa final'!$A$106),"")</f>
        <v/>
      </c>
      <c r="AY60" s="480"/>
      <c r="AZ60" s="480" t="str">
        <f>IF(AND('Mapa final'!$K$109="Media",'Mapa final'!$O$109="Catastrófico"),CONCATENATE("R",'Mapa final'!$A$109),"")</f>
        <v/>
      </c>
      <c r="BA60" s="480"/>
      <c r="BB60" s="480" t="str">
        <f>IF(AND('Mapa final'!$K$112="Media",'Mapa final'!$O$112="Catastrófico"),CONCATENATE("R",'Mapa final'!$A$112),"")</f>
        <v/>
      </c>
      <c r="BC60" s="480"/>
      <c r="BD60" s="480" t="str">
        <f>IF(AND('Mapa final'!$K$115="Media",'Mapa final'!$O$115="Catastrófico"),CONCATENATE("R",'Mapa final'!$A$115),"")</f>
        <v/>
      </c>
      <c r="BE60" s="480"/>
      <c r="BF60" s="480" t="str">
        <f>IF(AND('Mapa final'!$K$118="Media",'Mapa final'!$O$118="Catastrófico"),CONCATENATE("R",'Mapa final'!$A$118),"")</f>
        <v/>
      </c>
      <c r="BG60" s="481"/>
      <c r="BH60" s="56"/>
      <c r="BI60" s="522"/>
      <c r="BJ60" s="523"/>
      <c r="BK60" s="523"/>
      <c r="BL60" s="523"/>
      <c r="BM60" s="523"/>
      <c r="BN60" s="524"/>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row>
    <row r="61" spans="1:100" ht="15" customHeight="1" x14ac:dyDescent="0.35">
      <c r="A61" s="56"/>
      <c r="B61" s="307"/>
      <c r="C61" s="307"/>
      <c r="D61" s="308"/>
      <c r="E61" s="468"/>
      <c r="F61" s="469"/>
      <c r="G61" s="469"/>
      <c r="H61" s="469"/>
      <c r="I61" s="474"/>
      <c r="J61" s="457"/>
      <c r="K61" s="458"/>
      <c r="L61" s="458"/>
      <c r="M61" s="458"/>
      <c r="N61" s="458"/>
      <c r="O61" s="458"/>
      <c r="P61" s="458"/>
      <c r="Q61" s="458"/>
      <c r="R61" s="458"/>
      <c r="S61" s="461"/>
      <c r="T61" s="457"/>
      <c r="U61" s="458"/>
      <c r="V61" s="458"/>
      <c r="W61" s="458"/>
      <c r="X61" s="458"/>
      <c r="Y61" s="458"/>
      <c r="Z61" s="458"/>
      <c r="AA61" s="458"/>
      <c r="AB61" s="458"/>
      <c r="AC61" s="461"/>
      <c r="AD61" s="457"/>
      <c r="AE61" s="458"/>
      <c r="AF61" s="458"/>
      <c r="AG61" s="458"/>
      <c r="AH61" s="458"/>
      <c r="AI61" s="458"/>
      <c r="AJ61" s="458"/>
      <c r="AK61" s="458"/>
      <c r="AL61" s="458"/>
      <c r="AM61" s="461"/>
      <c r="AN61" s="491"/>
      <c r="AO61" s="450"/>
      <c r="AP61" s="450"/>
      <c r="AQ61" s="450"/>
      <c r="AR61" s="450"/>
      <c r="AS61" s="450"/>
      <c r="AT61" s="450"/>
      <c r="AU61" s="450"/>
      <c r="AV61" s="450"/>
      <c r="AW61" s="490"/>
      <c r="AX61" s="482"/>
      <c r="AY61" s="480"/>
      <c r="AZ61" s="480"/>
      <c r="BA61" s="480"/>
      <c r="BB61" s="480"/>
      <c r="BC61" s="480"/>
      <c r="BD61" s="480"/>
      <c r="BE61" s="480"/>
      <c r="BF61" s="480"/>
      <c r="BG61" s="481"/>
      <c r="BH61" s="56"/>
      <c r="BI61" s="522"/>
      <c r="BJ61" s="523"/>
      <c r="BK61" s="523"/>
      <c r="BL61" s="523"/>
      <c r="BM61" s="523"/>
      <c r="BN61" s="524"/>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row>
    <row r="62" spans="1:100" ht="15" customHeight="1" x14ac:dyDescent="0.35">
      <c r="A62" s="56"/>
      <c r="B62" s="307"/>
      <c r="C62" s="307"/>
      <c r="D62" s="308"/>
      <c r="E62" s="468"/>
      <c r="F62" s="469"/>
      <c r="G62" s="469"/>
      <c r="H62" s="469"/>
      <c r="I62" s="474"/>
      <c r="J62" s="457" t="str">
        <f>IF(AND('Mapa final'!$K$121="Media",'Mapa final'!$O$121="Leve"),CONCATENATE("R",'Mapa final'!$A$121),"")</f>
        <v/>
      </c>
      <c r="K62" s="458"/>
      <c r="L62" s="458" t="str">
        <f>IF(AND('Mapa final'!$K$124="Media",'Mapa final'!$O$124="Leve"),CONCATENATE("R",'Mapa final'!$A$124),"")</f>
        <v/>
      </c>
      <c r="M62" s="458"/>
      <c r="N62" s="458" t="str">
        <f>IF(AND('Mapa final'!$K$127="Media",'Mapa final'!$O$127="Leve"),CONCATENATE("R",'Mapa final'!$A$127),"")</f>
        <v/>
      </c>
      <c r="O62" s="458"/>
      <c r="P62" s="458" t="str">
        <f>IF(AND('Mapa final'!$K$130="Media",'Mapa final'!$O$130="Leve"),CONCATENATE("R",'Mapa final'!$A$130),"")</f>
        <v/>
      </c>
      <c r="Q62" s="458"/>
      <c r="R62" s="458" t="str">
        <f>IF(AND('Mapa final'!$K$133="Media",'Mapa final'!$O$133="Leve"),CONCATENATE("R",'Mapa final'!$A$133),"")</f>
        <v/>
      </c>
      <c r="S62" s="461"/>
      <c r="T62" s="457" t="str">
        <f>IF(AND('Mapa final'!$K$121="Media",'Mapa final'!$O$121="Menor"),CONCATENATE("R",'Mapa final'!$A$121),"")</f>
        <v/>
      </c>
      <c r="U62" s="458"/>
      <c r="V62" s="458" t="str">
        <f>IF(AND('Mapa final'!$K$124="Media",'Mapa final'!$O$124="Menor"),CONCATENATE("R",'Mapa final'!$A$124),"")</f>
        <v/>
      </c>
      <c r="W62" s="458"/>
      <c r="X62" s="458" t="str">
        <f>IF(AND('Mapa final'!$K$127="Media",'Mapa final'!$O$127="Menor"),CONCATENATE("R",'Mapa final'!$A$127),"")</f>
        <v/>
      </c>
      <c r="Y62" s="458"/>
      <c r="Z62" s="458" t="str">
        <f>IF(AND('Mapa final'!$K$130="Media",'Mapa final'!$O$130="Menor"),CONCATENATE("R",'Mapa final'!$A$130),"")</f>
        <v/>
      </c>
      <c r="AA62" s="458"/>
      <c r="AB62" s="458" t="str">
        <f>IF(AND('Mapa final'!$K$133="Media",'Mapa final'!$O$133="Menor"),CONCATENATE("R",'Mapa final'!$A$133),"")</f>
        <v/>
      </c>
      <c r="AC62" s="461"/>
      <c r="AD62" s="457" t="str">
        <f>IF(AND('Mapa final'!$K$121="Media",'Mapa final'!$O$121="Moderado"),CONCATENATE("R",'Mapa final'!$A$121),"")</f>
        <v>R40</v>
      </c>
      <c r="AE62" s="458"/>
      <c r="AF62" s="458" t="str">
        <f>IF(AND('Mapa final'!$K$124="Media",'Mapa final'!$O$124="Moderado"),CONCATENATE("R",'Mapa final'!$A$124),"")</f>
        <v/>
      </c>
      <c r="AG62" s="458"/>
      <c r="AH62" s="458" t="str">
        <f>IF(AND('Mapa final'!$K$127="Media",'Mapa final'!$O$127="Moderado"),CONCATENATE("R",'Mapa final'!$A$127),"")</f>
        <v/>
      </c>
      <c r="AI62" s="458"/>
      <c r="AJ62" s="458" t="str">
        <f>IF(AND('Mapa final'!$K$130="Media",'Mapa final'!$O$130="Moderado"),CONCATENATE("R",'Mapa final'!$A$130),"")</f>
        <v>R43</v>
      </c>
      <c r="AK62" s="458"/>
      <c r="AL62" s="458" t="str">
        <f>IF(AND('Mapa final'!$K$133="Media",'Mapa final'!$O$133="Moderado"),CONCATENATE("R",'Mapa final'!$A$133),"")</f>
        <v/>
      </c>
      <c r="AM62" s="461"/>
      <c r="AN62" s="491" t="str">
        <f>IF(AND('Mapa final'!$K$121="Media",'Mapa final'!$O$121="Mayor"),CONCATENATE("R",'Mapa final'!$A$121),"")</f>
        <v/>
      </c>
      <c r="AO62" s="450"/>
      <c r="AP62" s="450" t="str">
        <f>IF(AND('Mapa final'!$K$124="Media",'Mapa final'!$O$124="Mayor"),CONCATENATE("R",'Mapa final'!$A$124),"")</f>
        <v/>
      </c>
      <c r="AQ62" s="450"/>
      <c r="AR62" s="450" t="str">
        <f>IF(AND('Mapa final'!$K$127="Media",'Mapa final'!$O$127="Mayor"),CONCATENATE("R",'Mapa final'!$A$127),"")</f>
        <v>R42</v>
      </c>
      <c r="AS62" s="450"/>
      <c r="AT62" s="450" t="str">
        <f>IF(AND('Mapa final'!$K$130="Media",'Mapa final'!$O$130="Mayor"),CONCATENATE("R",'Mapa final'!$A$130),"")</f>
        <v/>
      </c>
      <c r="AU62" s="450"/>
      <c r="AV62" s="450" t="str">
        <f>IF(AND('Mapa final'!$K$133="Media",'Mapa final'!$O$133="Mayor"),CONCATENATE("R",'Mapa final'!$A$133),"")</f>
        <v>R44</v>
      </c>
      <c r="AW62" s="490"/>
      <c r="AX62" s="482" t="str">
        <f>IF(AND('Mapa final'!$K$121="Media",'Mapa final'!$O$121="Catastrófico"),CONCATENATE("R",'Mapa final'!$A$121),"")</f>
        <v/>
      </c>
      <c r="AY62" s="480"/>
      <c r="AZ62" s="480" t="str">
        <f>IF(AND('Mapa final'!$K$124="Media",'Mapa final'!$O$124="Catastrófico"),CONCATENATE("R",'Mapa final'!$A$124),"")</f>
        <v/>
      </c>
      <c r="BA62" s="480"/>
      <c r="BB62" s="480" t="str">
        <f>IF(AND('Mapa final'!$K$127="Media",'Mapa final'!$O$127="Catastrófico"),CONCATENATE("R",'Mapa final'!$A$127),"")</f>
        <v/>
      </c>
      <c r="BC62" s="480"/>
      <c r="BD62" s="480" t="str">
        <f>IF(AND('Mapa final'!$K$130="Media",'Mapa final'!$O$130="Catastrófico"),CONCATENATE("R",'Mapa final'!$A$130),"")</f>
        <v/>
      </c>
      <c r="BE62" s="480"/>
      <c r="BF62" s="480" t="str">
        <f>IF(AND('Mapa final'!$K$133="Media",'Mapa final'!$O$133="Catastrófico"),CONCATENATE("R",'Mapa final'!$A$133),"")</f>
        <v/>
      </c>
      <c r="BG62" s="481"/>
      <c r="BH62" s="56"/>
      <c r="BI62" s="522"/>
      <c r="BJ62" s="523"/>
      <c r="BK62" s="523"/>
      <c r="BL62" s="523"/>
      <c r="BM62" s="523"/>
      <c r="BN62" s="524"/>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row>
    <row r="63" spans="1:100" ht="15" customHeight="1" x14ac:dyDescent="0.35">
      <c r="A63" s="56"/>
      <c r="B63" s="307"/>
      <c r="C63" s="307"/>
      <c r="D63" s="308"/>
      <c r="E63" s="468"/>
      <c r="F63" s="469"/>
      <c r="G63" s="469"/>
      <c r="H63" s="469"/>
      <c r="I63" s="474"/>
      <c r="J63" s="457"/>
      <c r="K63" s="458"/>
      <c r="L63" s="458"/>
      <c r="M63" s="458"/>
      <c r="N63" s="458"/>
      <c r="O63" s="458"/>
      <c r="P63" s="458"/>
      <c r="Q63" s="458"/>
      <c r="R63" s="458"/>
      <c r="S63" s="461"/>
      <c r="T63" s="457"/>
      <c r="U63" s="458"/>
      <c r="V63" s="458"/>
      <c r="W63" s="458"/>
      <c r="X63" s="458"/>
      <c r="Y63" s="458"/>
      <c r="Z63" s="458"/>
      <c r="AA63" s="458"/>
      <c r="AB63" s="458"/>
      <c r="AC63" s="461"/>
      <c r="AD63" s="457"/>
      <c r="AE63" s="458"/>
      <c r="AF63" s="458"/>
      <c r="AG63" s="458"/>
      <c r="AH63" s="458"/>
      <c r="AI63" s="458"/>
      <c r="AJ63" s="458"/>
      <c r="AK63" s="458"/>
      <c r="AL63" s="458"/>
      <c r="AM63" s="461"/>
      <c r="AN63" s="491"/>
      <c r="AO63" s="450"/>
      <c r="AP63" s="450"/>
      <c r="AQ63" s="450"/>
      <c r="AR63" s="450"/>
      <c r="AS63" s="450"/>
      <c r="AT63" s="450"/>
      <c r="AU63" s="450"/>
      <c r="AV63" s="450"/>
      <c r="AW63" s="490"/>
      <c r="AX63" s="482"/>
      <c r="AY63" s="480"/>
      <c r="AZ63" s="480"/>
      <c r="BA63" s="480"/>
      <c r="BB63" s="480"/>
      <c r="BC63" s="480"/>
      <c r="BD63" s="480"/>
      <c r="BE63" s="480"/>
      <c r="BF63" s="480"/>
      <c r="BG63" s="481"/>
      <c r="BH63" s="56"/>
      <c r="BI63" s="522"/>
      <c r="BJ63" s="523"/>
      <c r="BK63" s="523"/>
      <c r="BL63" s="523"/>
      <c r="BM63" s="523"/>
      <c r="BN63" s="524"/>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row>
    <row r="64" spans="1:100" ht="15" customHeight="1" x14ac:dyDescent="0.35">
      <c r="A64" s="56"/>
      <c r="B64" s="307"/>
      <c r="C64" s="307"/>
      <c r="D64" s="308"/>
      <c r="E64" s="468"/>
      <c r="F64" s="469"/>
      <c r="G64" s="469"/>
      <c r="H64" s="469"/>
      <c r="I64" s="474"/>
      <c r="J64" s="457" t="str">
        <f>IF(AND('Mapa final'!$K$136="Media",'Mapa final'!$O$136="Leve"),CONCATENATE("R",'Mapa final'!$A$136),"")</f>
        <v/>
      </c>
      <c r="K64" s="458"/>
      <c r="L64" s="458" t="str">
        <f>IF(AND('Mapa final'!$K$139="Media",'Mapa final'!$O$139="Leve"),CONCATENATE("R",'Mapa final'!$A$139),"")</f>
        <v/>
      </c>
      <c r="M64" s="458"/>
      <c r="N64" s="458" t="str">
        <f>IF(AND('Mapa final'!$K$142="Media",'Mapa final'!$O$142="Leve"),CONCATENATE("R",'Mapa final'!$A$142),"")</f>
        <v/>
      </c>
      <c r="O64" s="458"/>
      <c r="P64" s="458" t="str">
        <f>IF(AND('Mapa final'!$K$145="Media",'Mapa final'!$O$145="Leve"),CONCATENATE("R",'Mapa final'!$A$145),"")</f>
        <v/>
      </c>
      <c r="Q64" s="458"/>
      <c r="R64" s="458" t="str">
        <f>IF(AND('Mapa final'!$K$148="Media",'Mapa final'!$O$148="Leve"),CONCATENATE("R",'Mapa final'!$A$148),"")</f>
        <v/>
      </c>
      <c r="S64" s="461"/>
      <c r="T64" s="457" t="str">
        <f>IF(AND('Mapa final'!$K$136="Media",'Mapa final'!$O$136="Menor"),CONCATENATE("R",'Mapa final'!$A$136),"")</f>
        <v/>
      </c>
      <c r="U64" s="458"/>
      <c r="V64" s="458" t="str">
        <f>IF(AND('Mapa final'!$K$139="Media",'Mapa final'!$O$139="Menor"),CONCATENATE("R",'Mapa final'!$A$139),"")</f>
        <v/>
      </c>
      <c r="W64" s="458"/>
      <c r="X64" s="458" t="str">
        <f>IF(AND('Mapa final'!$K$142="Media",'Mapa final'!$O$142="Menor"),CONCATENATE("R",'Mapa final'!$A$142),"")</f>
        <v/>
      </c>
      <c r="Y64" s="458"/>
      <c r="Z64" s="458" t="str">
        <f>IF(AND('Mapa final'!$K$145="Media",'Mapa final'!$O$145="Menor"),CONCATENATE("R",'Mapa final'!$A$145),"")</f>
        <v/>
      </c>
      <c r="AA64" s="458"/>
      <c r="AB64" s="458" t="str">
        <f>IF(AND('Mapa final'!$K$148="Media",'Mapa final'!$O$148="Menor"),CONCATENATE("R",'Mapa final'!$A$148),"")</f>
        <v/>
      </c>
      <c r="AC64" s="461"/>
      <c r="AD64" s="457" t="str">
        <f>IF(AND('Mapa final'!$K$136="Media",'Mapa final'!$O$136="Moderado"),CONCATENATE("R",'Mapa final'!$A$136),"")</f>
        <v/>
      </c>
      <c r="AE64" s="458"/>
      <c r="AF64" s="458" t="str">
        <f>IF(AND('Mapa final'!$K$139="Media",'Mapa final'!$O$139="Moderado"),CONCATENATE("R",'Mapa final'!$A$139),"")</f>
        <v/>
      </c>
      <c r="AG64" s="458"/>
      <c r="AH64" s="458" t="str">
        <f>IF(AND('Mapa final'!$K$142="Media",'Mapa final'!$O$142="Moderado"),CONCATENATE("R",'Mapa final'!$A$142),"")</f>
        <v/>
      </c>
      <c r="AI64" s="458"/>
      <c r="AJ64" s="458" t="str">
        <f>IF(AND('Mapa final'!$K$145="Media",'Mapa final'!$O$145="Moderado"),CONCATENATE("R",'Mapa final'!$A$145),"")</f>
        <v/>
      </c>
      <c r="AK64" s="458"/>
      <c r="AL64" s="458" t="str">
        <f>IF(AND('Mapa final'!$K$148="Media",'Mapa final'!$O$148="Moderado"),CONCATENATE("R",'Mapa final'!$A$148),"")</f>
        <v/>
      </c>
      <c r="AM64" s="461"/>
      <c r="AN64" s="491" t="str">
        <f>IF(AND('Mapa final'!$K$136="Media",'Mapa final'!$O$136="Mayor"),CONCATENATE("R",'Mapa final'!$A$136),"")</f>
        <v/>
      </c>
      <c r="AO64" s="450"/>
      <c r="AP64" s="450" t="str">
        <f>IF(AND('Mapa final'!$K$139="Media",'Mapa final'!$O$139="Mayor"),CONCATENATE("R",'Mapa final'!$A$139),"")</f>
        <v/>
      </c>
      <c r="AQ64" s="450"/>
      <c r="AR64" s="450" t="str">
        <f>IF(AND('Mapa final'!$K$142="Media",'Mapa final'!$O$142="Mayor"),CONCATENATE("R",'Mapa final'!$A$142),"")</f>
        <v/>
      </c>
      <c r="AS64" s="450"/>
      <c r="AT64" s="450" t="str">
        <f>IF(AND('Mapa final'!$K$145="Media",'Mapa final'!$O$145="Mayor"),CONCATENATE("R",'Mapa final'!$A$145),"")</f>
        <v/>
      </c>
      <c r="AU64" s="450"/>
      <c r="AV64" s="450" t="str">
        <f>IF(AND('Mapa final'!$K$148="Media",'Mapa final'!$O$148="Mayor"),CONCATENATE("R",'Mapa final'!$A$148),"")</f>
        <v/>
      </c>
      <c r="AW64" s="490"/>
      <c r="AX64" s="482" t="str">
        <f>IF(AND('Mapa final'!$K$136="Media",'Mapa final'!$O$136="Catastrófico"),CONCATENATE("R",'Mapa final'!$A$136),"")</f>
        <v/>
      </c>
      <c r="AY64" s="480"/>
      <c r="AZ64" s="480" t="str">
        <f>IF(AND('Mapa final'!$K$139="Media",'Mapa final'!$O$139="Catastrófico"),CONCATENATE("R",'Mapa final'!$A$139),"")</f>
        <v/>
      </c>
      <c r="BA64" s="480"/>
      <c r="BB64" s="480" t="str">
        <f>IF(AND('Mapa final'!$K$142="Media",'Mapa final'!$O$142="Catastrófico"),CONCATENATE("R",'Mapa final'!$A$142),"")</f>
        <v/>
      </c>
      <c r="BC64" s="480"/>
      <c r="BD64" s="480" t="str">
        <f>IF(AND('Mapa final'!$K$145="Media",'Mapa final'!$O$145="Catastrófico"),CONCATENATE("R",'Mapa final'!$A$145),"")</f>
        <v/>
      </c>
      <c r="BE64" s="480"/>
      <c r="BF64" s="480" t="str">
        <f>IF(AND('Mapa final'!$K$148="Media",'Mapa final'!$O$148="Catastrófico"),CONCATENATE("R",'Mapa final'!$A$148),"")</f>
        <v/>
      </c>
      <c r="BG64" s="481"/>
      <c r="BH64" s="56"/>
      <c r="BI64" s="522"/>
      <c r="BJ64" s="523"/>
      <c r="BK64" s="523"/>
      <c r="BL64" s="523"/>
      <c r="BM64" s="523"/>
      <c r="BN64" s="524"/>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row>
    <row r="65" spans="1:100" ht="15.75" customHeight="1" thickBot="1" x14ac:dyDescent="0.4">
      <c r="A65" s="56"/>
      <c r="B65" s="307"/>
      <c r="C65" s="307"/>
      <c r="D65" s="308"/>
      <c r="E65" s="471"/>
      <c r="F65" s="472"/>
      <c r="G65" s="472"/>
      <c r="H65" s="472"/>
      <c r="I65" s="472"/>
      <c r="J65" s="459"/>
      <c r="K65" s="460"/>
      <c r="L65" s="460"/>
      <c r="M65" s="460"/>
      <c r="N65" s="460"/>
      <c r="O65" s="460"/>
      <c r="P65" s="460"/>
      <c r="Q65" s="460"/>
      <c r="R65" s="460"/>
      <c r="S65" s="462"/>
      <c r="T65" s="459"/>
      <c r="U65" s="460"/>
      <c r="V65" s="460"/>
      <c r="W65" s="460"/>
      <c r="X65" s="460"/>
      <c r="Y65" s="460"/>
      <c r="Z65" s="460"/>
      <c r="AA65" s="460"/>
      <c r="AB65" s="460"/>
      <c r="AC65" s="462"/>
      <c r="AD65" s="459"/>
      <c r="AE65" s="460"/>
      <c r="AF65" s="460"/>
      <c r="AG65" s="460"/>
      <c r="AH65" s="460"/>
      <c r="AI65" s="460"/>
      <c r="AJ65" s="460"/>
      <c r="AK65" s="460"/>
      <c r="AL65" s="460"/>
      <c r="AM65" s="462"/>
      <c r="AN65" s="492"/>
      <c r="AO65" s="489"/>
      <c r="AP65" s="489"/>
      <c r="AQ65" s="489"/>
      <c r="AR65" s="489"/>
      <c r="AS65" s="489"/>
      <c r="AT65" s="489"/>
      <c r="AU65" s="489"/>
      <c r="AV65" s="489"/>
      <c r="AW65" s="493"/>
      <c r="AX65" s="483"/>
      <c r="AY65" s="484"/>
      <c r="AZ65" s="484"/>
      <c r="BA65" s="484"/>
      <c r="BB65" s="484"/>
      <c r="BC65" s="484"/>
      <c r="BD65" s="484"/>
      <c r="BE65" s="484"/>
      <c r="BF65" s="484"/>
      <c r="BG65" s="485"/>
      <c r="BH65" s="56"/>
      <c r="BI65" s="522"/>
      <c r="BJ65" s="523"/>
      <c r="BK65" s="523"/>
      <c r="BL65" s="523"/>
      <c r="BM65" s="523"/>
      <c r="BN65" s="524"/>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row>
    <row r="66" spans="1:100" ht="15" customHeight="1" x14ac:dyDescent="0.35">
      <c r="A66" s="56"/>
      <c r="B66" s="307"/>
      <c r="C66" s="307"/>
      <c r="D66" s="308"/>
      <c r="E66" s="465" t="s">
        <v>105</v>
      </c>
      <c r="F66" s="466"/>
      <c r="G66" s="466"/>
      <c r="H66" s="466"/>
      <c r="I66" s="466"/>
      <c r="J66" s="455" t="str">
        <f>IF(AND('Mapa final'!$K$7="Baja",'Mapa final'!$O$7="Leve"),CONCATENATE("R",'Mapa final'!$A$7),"")</f>
        <v/>
      </c>
      <c r="K66" s="456"/>
      <c r="L66" s="456" t="str">
        <f>IF(AND('Mapa final'!$K$10="Baja",'Mapa final'!$O$10="Leve"),CONCATENATE("R",'Mapa final'!$A$10),"")</f>
        <v/>
      </c>
      <c r="M66" s="456"/>
      <c r="N66" s="456" t="str">
        <f>IF(AND('Mapa final'!$K$13="Baja",'Mapa final'!$O$13="Leve"),CONCATENATE("R",'Mapa final'!$A$13),"")</f>
        <v/>
      </c>
      <c r="O66" s="456"/>
      <c r="P66" s="456" t="e">
        <f>IF(AND('Mapa final'!#REF!="Baja",'Mapa final'!#REF!="Leve"),CONCATENATE("R",'Mapa final'!#REF!),"")</f>
        <v>#REF!</v>
      </c>
      <c r="Q66" s="456"/>
      <c r="R66" s="456" t="e">
        <f>IF(AND('Mapa final'!#REF!="Baja",'Mapa final'!#REF!="Leve"),CONCATENATE("R",'Mapa final'!#REF!),"")</f>
        <v>#REF!</v>
      </c>
      <c r="S66" s="499"/>
      <c r="T66" s="478" t="str">
        <f>IF(AND('Mapa final'!$K$7="Baja",'Mapa final'!$O$7="Menor"),CONCATENATE("R",'Mapa final'!$A$7),"")</f>
        <v/>
      </c>
      <c r="U66" s="463"/>
      <c r="V66" s="463" t="str">
        <f>IF(AND('Mapa final'!$K$10="Baja",'Mapa final'!$O$10="Menor"),CONCATENATE("R",'Mapa final'!$A$10),"")</f>
        <v/>
      </c>
      <c r="W66" s="463"/>
      <c r="X66" s="463" t="str">
        <f>IF(AND('Mapa final'!$K$13="Baja",'Mapa final'!$O$13="Menor"),CONCATENATE("R",'Mapa final'!$A$13),"")</f>
        <v/>
      </c>
      <c r="Y66" s="463"/>
      <c r="Z66" s="463" t="e">
        <f>IF(AND('Mapa final'!#REF!="Baja",'Mapa final'!#REF!="Menor"),CONCATENATE("R",'Mapa final'!#REF!),"")</f>
        <v>#REF!</v>
      </c>
      <c r="AA66" s="463"/>
      <c r="AB66" s="463" t="e">
        <f>IF(AND('Mapa final'!#REF!="Baja",'Mapa final'!#REF!="Menor"),CONCATENATE("R",'Mapa final'!#REF!),"")</f>
        <v>#REF!</v>
      </c>
      <c r="AC66" s="479"/>
      <c r="AD66" s="478" t="str">
        <f>IF(AND('Mapa final'!$K$7="Baja",'Mapa final'!$O$7="Moderado"),CONCATENATE("R",'Mapa final'!$A$7),"")</f>
        <v>R1</v>
      </c>
      <c r="AE66" s="463"/>
      <c r="AF66" s="463" t="str">
        <f>IF(AND('Mapa final'!$K$10="Baja",'Mapa final'!$O$10="Moderado"),CONCATENATE("R",'Mapa final'!$A$10),"")</f>
        <v/>
      </c>
      <c r="AG66" s="463"/>
      <c r="AH66" s="463" t="str">
        <f>IF(AND('Mapa final'!$K$13="Baja",'Mapa final'!$O$13="Moderado"),CONCATENATE("R",'Mapa final'!$A$13),"")</f>
        <v/>
      </c>
      <c r="AI66" s="463"/>
      <c r="AJ66" s="463" t="e">
        <f>IF(AND('Mapa final'!#REF!="Baja",'Mapa final'!#REF!="Moderado"),CONCATENATE("R",'Mapa final'!#REF!),"")</f>
        <v>#REF!</v>
      </c>
      <c r="AK66" s="463"/>
      <c r="AL66" s="463" t="e">
        <f>IF(AND('Mapa final'!#REF!="Baja",'Mapa final'!#REF!="Moderado"),CONCATENATE("R",'Mapa final'!#REF!),"")</f>
        <v>#REF!</v>
      </c>
      <c r="AM66" s="479"/>
      <c r="AN66" s="494" t="str">
        <f>IF(AND('Mapa final'!$K$7="Baja",'Mapa final'!$O$7="Mayor"),CONCATENATE("R",'Mapa final'!$A$7),"")</f>
        <v/>
      </c>
      <c r="AO66" s="495"/>
      <c r="AP66" s="495" t="str">
        <f>IF(AND('Mapa final'!$K$10="Baja",'Mapa final'!$O$10="Mayor"),CONCATENATE("R",'Mapa final'!$A$10),"")</f>
        <v/>
      </c>
      <c r="AQ66" s="495"/>
      <c r="AR66" s="495" t="str">
        <f>IF(AND('Mapa final'!$K$13="Baja",'Mapa final'!$O$13="Mayor"),CONCATENATE("R",'Mapa final'!$A$13),"")</f>
        <v/>
      </c>
      <c r="AS66" s="495"/>
      <c r="AT66" s="495" t="e">
        <f>IF(AND('Mapa final'!#REF!="Baja",'Mapa final'!#REF!="Mayor"),CONCATENATE("R",'Mapa final'!#REF!),"")</f>
        <v>#REF!</v>
      </c>
      <c r="AU66" s="495"/>
      <c r="AV66" s="495" t="e">
        <f>IF(AND('Mapa final'!#REF!="Baja",'Mapa final'!#REF!="Mayor"),CONCATENATE("R",'Mapa final'!#REF!),"")</f>
        <v>#REF!</v>
      </c>
      <c r="AW66" s="496"/>
      <c r="AX66" s="486" t="str">
        <f>IF(AND('Mapa final'!$K$7="Baja",'Mapa final'!$O$7="Catastrófico"),CONCATENATE("R",'Mapa final'!$A$7),"")</f>
        <v/>
      </c>
      <c r="AY66" s="487"/>
      <c r="AZ66" s="487" t="str">
        <f>IF(AND('Mapa final'!$K$10="Baja",'Mapa final'!$O$10="Catastrófico"),CONCATENATE("R",'Mapa final'!$A$10),"")</f>
        <v/>
      </c>
      <c r="BA66" s="487"/>
      <c r="BB66" s="487" t="str">
        <f>IF(AND('Mapa final'!$K$13="Baja",'Mapa final'!$O$13="Catastrófico"),CONCATENATE("R",'Mapa final'!$A$13),"")</f>
        <v/>
      </c>
      <c r="BC66" s="487"/>
      <c r="BD66" s="487" t="e">
        <f>IF(AND('Mapa final'!#REF!="Baja",'Mapa final'!#REF!="Catastrófico"),CONCATENATE("R",'Mapa final'!#REF!),"")</f>
        <v>#REF!</v>
      </c>
      <c r="BE66" s="487"/>
      <c r="BF66" s="487" t="e">
        <f>IF(AND('Mapa final'!#REF!="Baja",'Mapa final'!#REF!="Catastrófico"),CONCATENATE("R",'Mapa final'!#REF!),"")</f>
        <v>#REF!</v>
      </c>
      <c r="BG66" s="488"/>
      <c r="BH66" s="56"/>
      <c r="BI66" s="522"/>
      <c r="BJ66" s="523"/>
      <c r="BK66" s="523"/>
      <c r="BL66" s="523"/>
      <c r="BM66" s="523"/>
      <c r="BN66" s="524"/>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row>
    <row r="67" spans="1:100" ht="15" customHeight="1" x14ac:dyDescent="0.35">
      <c r="A67" s="56"/>
      <c r="B67" s="307"/>
      <c r="C67" s="307"/>
      <c r="D67" s="308"/>
      <c r="E67" s="468"/>
      <c r="F67" s="469"/>
      <c r="G67" s="469"/>
      <c r="H67" s="469"/>
      <c r="I67" s="474"/>
      <c r="J67" s="451"/>
      <c r="K67" s="452"/>
      <c r="L67" s="452"/>
      <c r="M67" s="452"/>
      <c r="N67" s="452"/>
      <c r="O67" s="452"/>
      <c r="P67" s="452"/>
      <c r="Q67" s="452"/>
      <c r="R67" s="452"/>
      <c r="S67" s="500"/>
      <c r="T67" s="457"/>
      <c r="U67" s="458"/>
      <c r="V67" s="458"/>
      <c r="W67" s="458"/>
      <c r="X67" s="458"/>
      <c r="Y67" s="458"/>
      <c r="Z67" s="458"/>
      <c r="AA67" s="458"/>
      <c r="AB67" s="458"/>
      <c r="AC67" s="461"/>
      <c r="AD67" s="457"/>
      <c r="AE67" s="458"/>
      <c r="AF67" s="458"/>
      <c r="AG67" s="458"/>
      <c r="AH67" s="458"/>
      <c r="AI67" s="458"/>
      <c r="AJ67" s="458"/>
      <c r="AK67" s="458"/>
      <c r="AL67" s="458"/>
      <c r="AM67" s="461"/>
      <c r="AN67" s="491"/>
      <c r="AO67" s="450"/>
      <c r="AP67" s="450"/>
      <c r="AQ67" s="450"/>
      <c r="AR67" s="450"/>
      <c r="AS67" s="450"/>
      <c r="AT67" s="450"/>
      <c r="AU67" s="450"/>
      <c r="AV67" s="450"/>
      <c r="AW67" s="490"/>
      <c r="AX67" s="482"/>
      <c r="AY67" s="480"/>
      <c r="AZ67" s="480"/>
      <c r="BA67" s="480"/>
      <c r="BB67" s="480"/>
      <c r="BC67" s="480"/>
      <c r="BD67" s="480"/>
      <c r="BE67" s="480"/>
      <c r="BF67" s="480"/>
      <c r="BG67" s="481"/>
      <c r="BH67" s="56"/>
      <c r="BI67" s="522"/>
      <c r="BJ67" s="523"/>
      <c r="BK67" s="523"/>
      <c r="BL67" s="523"/>
      <c r="BM67" s="523"/>
      <c r="BN67" s="524"/>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row>
    <row r="68" spans="1:100" ht="15" customHeight="1" x14ac:dyDescent="0.35">
      <c r="A68" s="56"/>
      <c r="B68" s="307"/>
      <c r="C68" s="307"/>
      <c r="D68" s="308"/>
      <c r="E68" s="468"/>
      <c r="F68" s="469"/>
      <c r="G68" s="469"/>
      <c r="H68" s="469"/>
      <c r="I68" s="474"/>
      <c r="J68" s="451" t="str">
        <f>IF(AND('Mapa final'!$K$16="Baja",'Mapa final'!$O$16="Leve"),CONCATENATE("R",'Mapa final'!$A$16),"")</f>
        <v/>
      </c>
      <c r="K68" s="452"/>
      <c r="L68" s="452" t="str">
        <f>IF(AND('Mapa final'!$K$19="Baja",'Mapa final'!$O$19="Leve"),CONCATENATE("R",'Mapa final'!$A$19),"")</f>
        <v/>
      </c>
      <c r="M68" s="452"/>
      <c r="N68" s="452" t="str">
        <f>IF(AND('Mapa final'!$K$22="Baja",'Mapa final'!$O$22="Leve"),CONCATENATE("R",'Mapa final'!$A$22),"")</f>
        <v/>
      </c>
      <c r="O68" s="452"/>
      <c r="P68" s="452" t="str">
        <f>IF(AND('Mapa final'!$K$25="Baja",'Mapa final'!$O$25="Leve"),CONCATENATE("R",'Mapa final'!$A$25),"")</f>
        <v/>
      </c>
      <c r="Q68" s="452"/>
      <c r="R68" s="452" t="str">
        <f>IF(AND('Mapa final'!$K$28="Baja",'Mapa final'!$O$28="Leve"),CONCATENATE("R",'Mapa final'!$A$28),"")</f>
        <v/>
      </c>
      <c r="S68" s="500"/>
      <c r="T68" s="457" t="str">
        <f>IF(AND('Mapa final'!$K$16="Baja",'Mapa final'!$O$16="Menor"),CONCATENATE("R",'Mapa final'!$A$16),"")</f>
        <v/>
      </c>
      <c r="U68" s="458"/>
      <c r="V68" s="458" t="str">
        <f>IF(AND('Mapa final'!$K$19="Baja",'Mapa final'!$O$19="Menor"),CONCATENATE("R",'Mapa final'!$A$19),"")</f>
        <v/>
      </c>
      <c r="W68" s="458"/>
      <c r="X68" s="458" t="str">
        <f>IF(AND('Mapa final'!$K$22="Baja",'Mapa final'!$O$22="Menor"),CONCATENATE("R",'Mapa final'!$A$22),"")</f>
        <v/>
      </c>
      <c r="Y68" s="458"/>
      <c r="Z68" s="458" t="str">
        <f>IF(AND('Mapa final'!$K$25="Baja",'Mapa final'!$O$25="Menor"),CONCATENATE("R",'Mapa final'!$A$25),"")</f>
        <v/>
      </c>
      <c r="AA68" s="458"/>
      <c r="AB68" s="458" t="str">
        <f>IF(AND('Mapa final'!$K$28="Baja",'Mapa final'!$O$28="Menor"),CONCATENATE("R",'Mapa final'!$A$28),"")</f>
        <v/>
      </c>
      <c r="AC68" s="461"/>
      <c r="AD68" s="457" t="str">
        <f>IF(AND('Mapa final'!$K$16="Baja",'Mapa final'!$O$16="Moderado"),CONCATENATE("R",'Mapa final'!$A$16),"")</f>
        <v/>
      </c>
      <c r="AE68" s="458"/>
      <c r="AF68" s="458" t="str">
        <f>IF(AND('Mapa final'!$K$19="Baja",'Mapa final'!$O$19="Moderado"),CONCATENATE("R",'Mapa final'!$A$19),"")</f>
        <v/>
      </c>
      <c r="AG68" s="458"/>
      <c r="AH68" s="458" t="str">
        <f>IF(AND('Mapa final'!$K$22="Baja",'Mapa final'!$O$22="Moderado"),CONCATENATE("R",'Mapa final'!$A$22),"")</f>
        <v/>
      </c>
      <c r="AI68" s="458"/>
      <c r="AJ68" s="458" t="str">
        <f>IF(AND('Mapa final'!$K$25="Baja",'Mapa final'!$O$25="Moderado"),CONCATENATE("R",'Mapa final'!$A$25),"")</f>
        <v/>
      </c>
      <c r="AK68" s="458"/>
      <c r="AL68" s="458" t="str">
        <f>IF(AND('Mapa final'!$K$28="Baja",'Mapa final'!$O$28="Moderado"),CONCATENATE("R",'Mapa final'!$A$28),"")</f>
        <v/>
      </c>
      <c r="AM68" s="461"/>
      <c r="AN68" s="491" t="str">
        <f>IF(AND('Mapa final'!$K$16="Baja",'Mapa final'!$O$16="Mayor"),CONCATENATE("R",'Mapa final'!$A$16),"")</f>
        <v/>
      </c>
      <c r="AO68" s="450"/>
      <c r="AP68" s="450" t="str">
        <f>IF(AND('Mapa final'!$K$19="Baja",'Mapa final'!$O$19="Mayor"),CONCATENATE("R",'Mapa final'!$A$19),"")</f>
        <v/>
      </c>
      <c r="AQ68" s="450"/>
      <c r="AR68" s="450" t="str">
        <f>IF(AND('Mapa final'!$K$22="Baja",'Mapa final'!$O$22="Mayor"),CONCATENATE("R",'Mapa final'!$A$22),"")</f>
        <v/>
      </c>
      <c r="AS68" s="450"/>
      <c r="AT68" s="450" t="str">
        <f>IF(AND('Mapa final'!$K$25="Baja",'Mapa final'!$O$25="Mayor"),CONCATENATE("R",'Mapa final'!$A$25),"")</f>
        <v/>
      </c>
      <c r="AU68" s="450"/>
      <c r="AV68" s="450" t="str">
        <f>IF(AND('Mapa final'!$K$28="Baja",'Mapa final'!$O$28="Mayor"),CONCATENATE("R",'Mapa final'!$A$28),"")</f>
        <v/>
      </c>
      <c r="AW68" s="490"/>
      <c r="AX68" s="482" t="str">
        <f>IF(AND('Mapa final'!$K$16="Baja",'Mapa final'!$O$16="Catastrófico"),CONCATENATE("R",'Mapa final'!$A$16),"")</f>
        <v/>
      </c>
      <c r="AY68" s="480"/>
      <c r="AZ68" s="480" t="str">
        <f>IF(AND('Mapa final'!$K$19="Baja",'Mapa final'!$O$19="Catastrófico"),CONCATENATE("R",'Mapa final'!$A$19),"")</f>
        <v/>
      </c>
      <c r="BA68" s="480"/>
      <c r="BB68" s="480" t="str">
        <f>IF(AND('Mapa final'!$K$22="Baja",'Mapa final'!$O$22="Catastrófico"),CONCATENATE("R",'Mapa final'!$A$22),"")</f>
        <v/>
      </c>
      <c r="BC68" s="480"/>
      <c r="BD68" s="480" t="str">
        <f>IF(AND('Mapa final'!$K$25="Baja",'Mapa final'!$O$25="Catastrófico"),CONCATENATE("R",'Mapa final'!$A$25),"")</f>
        <v/>
      </c>
      <c r="BE68" s="480"/>
      <c r="BF68" s="480" t="str">
        <f>IF(AND('Mapa final'!$K$28="Baja",'Mapa final'!$O$28="Catastrófico"),CONCATENATE("R",'Mapa final'!$A$28),"")</f>
        <v/>
      </c>
      <c r="BG68" s="481"/>
      <c r="BH68" s="56"/>
      <c r="BI68" s="522"/>
      <c r="BJ68" s="523"/>
      <c r="BK68" s="523"/>
      <c r="BL68" s="523"/>
      <c r="BM68" s="523"/>
      <c r="BN68" s="524"/>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row>
    <row r="69" spans="1:100" ht="15" customHeight="1" x14ac:dyDescent="0.35">
      <c r="A69" s="56"/>
      <c r="B69" s="307"/>
      <c r="C69" s="307"/>
      <c r="D69" s="308"/>
      <c r="E69" s="468"/>
      <c r="F69" s="469"/>
      <c r="G69" s="469"/>
      <c r="H69" s="469"/>
      <c r="I69" s="474"/>
      <c r="J69" s="451"/>
      <c r="K69" s="452"/>
      <c r="L69" s="452"/>
      <c r="M69" s="452"/>
      <c r="N69" s="452"/>
      <c r="O69" s="452"/>
      <c r="P69" s="452"/>
      <c r="Q69" s="452"/>
      <c r="R69" s="452"/>
      <c r="S69" s="500"/>
      <c r="T69" s="457"/>
      <c r="U69" s="458"/>
      <c r="V69" s="458"/>
      <c r="W69" s="458"/>
      <c r="X69" s="458"/>
      <c r="Y69" s="458"/>
      <c r="Z69" s="458"/>
      <c r="AA69" s="458"/>
      <c r="AB69" s="458"/>
      <c r="AC69" s="461"/>
      <c r="AD69" s="457"/>
      <c r="AE69" s="458"/>
      <c r="AF69" s="458"/>
      <c r="AG69" s="458"/>
      <c r="AH69" s="458"/>
      <c r="AI69" s="458"/>
      <c r="AJ69" s="458"/>
      <c r="AK69" s="458"/>
      <c r="AL69" s="458"/>
      <c r="AM69" s="461"/>
      <c r="AN69" s="491"/>
      <c r="AO69" s="450"/>
      <c r="AP69" s="450"/>
      <c r="AQ69" s="450"/>
      <c r="AR69" s="450"/>
      <c r="AS69" s="450"/>
      <c r="AT69" s="450"/>
      <c r="AU69" s="450"/>
      <c r="AV69" s="450"/>
      <c r="AW69" s="490"/>
      <c r="AX69" s="482"/>
      <c r="AY69" s="480"/>
      <c r="AZ69" s="480"/>
      <c r="BA69" s="480"/>
      <c r="BB69" s="480"/>
      <c r="BC69" s="480"/>
      <c r="BD69" s="480"/>
      <c r="BE69" s="480"/>
      <c r="BF69" s="480"/>
      <c r="BG69" s="481"/>
      <c r="BH69" s="56"/>
      <c r="BI69" s="522"/>
      <c r="BJ69" s="523"/>
      <c r="BK69" s="523"/>
      <c r="BL69" s="523"/>
      <c r="BM69" s="523"/>
      <c r="BN69" s="524"/>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row>
    <row r="70" spans="1:100" ht="15" customHeight="1" x14ac:dyDescent="0.35">
      <c r="A70" s="56"/>
      <c r="B70" s="307"/>
      <c r="C70" s="307"/>
      <c r="D70" s="308"/>
      <c r="E70" s="468"/>
      <c r="F70" s="469"/>
      <c r="G70" s="469"/>
      <c r="H70" s="469"/>
      <c r="I70" s="474"/>
      <c r="J70" s="451" t="str">
        <f>IF(AND('Mapa final'!$K$31="Baja",'Mapa final'!$O$31="Leve"),CONCATENATE("R",'Mapa final'!$A$31),"")</f>
        <v/>
      </c>
      <c r="K70" s="452"/>
      <c r="L70" s="452" t="str">
        <f>IF(AND('Mapa final'!$K$34="Baja",'Mapa final'!$O$34="Leve"),CONCATENATE("R",'Mapa final'!$A$34),"")</f>
        <v/>
      </c>
      <c r="M70" s="452"/>
      <c r="N70" s="452" t="str">
        <f>IF(AND('Mapa final'!$K$37="Baja",'Mapa final'!$O$37="Leve"),CONCATENATE("R",'Mapa final'!$A$37),"")</f>
        <v/>
      </c>
      <c r="O70" s="452"/>
      <c r="P70" s="452" t="str">
        <f>IF(AND('Mapa final'!$K$40="Baja",'Mapa final'!$O$40="Leve"),CONCATENATE("R",'Mapa final'!$A$40),"")</f>
        <v/>
      </c>
      <c r="Q70" s="452"/>
      <c r="R70" s="452" t="str">
        <f>IF(AND('Mapa final'!$K$43="Baja",'Mapa final'!$O$43="Leve"),CONCATENATE("R",'Mapa final'!$A$43),"")</f>
        <v/>
      </c>
      <c r="S70" s="500"/>
      <c r="T70" s="457" t="str">
        <f>IF(AND('Mapa final'!$K$31="Baja",'Mapa final'!$O$31="Menor"),CONCATENATE("R",'Mapa final'!$A$31),"")</f>
        <v/>
      </c>
      <c r="U70" s="458"/>
      <c r="V70" s="458" t="str">
        <f>IF(AND('Mapa final'!$K$34="Baja",'Mapa final'!$O$34="Menor"),CONCATENATE("R",'Mapa final'!$A$34),"")</f>
        <v/>
      </c>
      <c r="W70" s="458"/>
      <c r="X70" s="458" t="str">
        <f>IF(AND('Mapa final'!$K$37="Baja",'Mapa final'!$O$37="Menor"),CONCATENATE("R",'Mapa final'!$A$37),"")</f>
        <v/>
      </c>
      <c r="Y70" s="458"/>
      <c r="Z70" s="458" t="str">
        <f>IF(AND('Mapa final'!$K$40="Baja",'Mapa final'!$O$40="Menor"),CONCATENATE("R",'Mapa final'!$A$40),"")</f>
        <v/>
      </c>
      <c r="AA70" s="458"/>
      <c r="AB70" s="458" t="str">
        <f>IF(AND('Mapa final'!$K$43="Baja",'Mapa final'!$O$43="Menor"),CONCATENATE("R",'Mapa final'!$A$43),"")</f>
        <v/>
      </c>
      <c r="AC70" s="461"/>
      <c r="AD70" s="457" t="str">
        <f>IF(AND('Mapa final'!$K$31="Baja",'Mapa final'!$O$31="Moderado"),CONCATENATE("R",'Mapa final'!$A$31),"")</f>
        <v/>
      </c>
      <c r="AE70" s="458"/>
      <c r="AF70" s="458" t="str">
        <f>IF(AND('Mapa final'!$K$34="Baja",'Mapa final'!$O$34="Moderado"),CONCATENATE("R",'Mapa final'!$A$34),"")</f>
        <v>R11</v>
      </c>
      <c r="AG70" s="458"/>
      <c r="AH70" s="458" t="str">
        <f>IF(AND('Mapa final'!$K$37="Baja",'Mapa final'!$O$37="Moderado"),CONCATENATE("R",'Mapa final'!$A$37),"")</f>
        <v/>
      </c>
      <c r="AI70" s="458"/>
      <c r="AJ70" s="458" t="str">
        <f>IF(AND('Mapa final'!$K$40="Baja",'Mapa final'!$O$40="Moderado"),CONCATENATE("R",'Mapa final'!$A$40),"")</f>
        <v>R13</v>
      </c>
      <c r="AK70" s="458"/>
      <c r="AL70" s="458" t="str">
        <f>IF(AND('Mapa final'!$K$43="Baja",'Mapa final'!$O$43="Moderado"),CONCATENATE("R",'Mapa final'!$A$43),"")</f>
        <v/>
      </c>
      <c r="AM70" s="461"/>
      <c r="AN70" s="491" t="str">
        <f>IF(AND('Mapa final'!$K$31="Baja",'Mapa final'!$O$31="Mayor"),CONCATENATE("R",'Mapa final'!$A$31),"")</f>
        <v>R10</v>
      </c>
      <c r="AO70" s="450"/>
      <c r="AP70" s="450" t="str">
        <f>IF(AND('Mapa final'!$K$34="Baja",'Mapa final'!$O$34="Mayor"),CONCATENATE("R",'Mapa final'!$A$34),"")</f>
        <v/>
      </c>
      <c r="AQ70" s="450"/>
      <c r="AR70" s="450" t="str">
        <f>IF(AND('Mapa final'!$K$37="Baja",'Mapa final'!$O$37="Mayor"),CONCATENATE("R",'Mapa final'!$A$37),"")</f>
        <v/>
      </c>
      <c r="AS70" s="450"/>
      <c r="AT70" s="450" t="str">
        <f>IF(AND('Mapa final'!$K$40="Baja",'Mapa final'!$O$40="Mayor"),CONCATENATE("R",'Mapa final'!$A$40),"")</f>
        <v/>
      </c>
      <c r="AU70" s="450"/>
      <c r="AV70" s="450" t="str">
        <f>IF(AND('Mapa final'!$K$43="Baja",'Mapa final'!$O$43="Mayor"),CONCATENATE("R",'Mapa final'!$A$43),"")</f>
        <v/>
      </c>
      <c r="AW70" s="490"/>
      <c r="AX70" s="482" t="str">
        <f>IF(AND('Mapa final'!$K$31="Baja",'Mapa final'!$O$31="Catastrófico"),CONCATENATE("R",'Mapa final'!$A$31),"")</f>
        <v/>
      </c>
      <c r="AY70" s="480"/>
      <c r="AZ70" s="480" t="str">
        <f>IF(AND('Mapa final'!$K$34="Baja",'Mapa final'!$O$34="Catastrófico"),CONCATENATE("R",'Mapa final'!$A$34),"")</f>
        <v/>
      </c>
      <c r="BA70" s="480"/>
      <c r="BB70" s="480" t="str">
        <f>IF(AND('Mapa final'!$K$37="Baja",'Mapa final'!$O$37="Catastrófico"),CONCATENATE("R",'Mapa final'!$A$37),"")</f>
        <v/>
      </c>
      <c r="BC70" s="480"/>
      <c r="BD70" s="480" t="str">
        <f>IF(AND('Mapa final'!$K$40="Baja",'Mapa final'!$O$40="Catastrófico"),CONCATENATE("R",'Mapa final'!$A$40),"")</f>
        <v/>
      </c>
      <c r="BE70" s="480"/>
      <c r="BF70" s="480" t="str">
        <f>IF(AND('Mapa final'!$K$43="Baja",'Mapa final'!$O$43="Catastrófico"),CONCATENATE("R",'Mapa final'!$A$43),"")</f>
        <v/>
      </c>
      <c r="BG70" s="481"/>
      <c r="BH70" s="56"/>
      <c r="BI70" s="522"/>
      <c r="BJ70" s="523"/>
      <c r="BK70" s="523"/>
      <c r="BL70" s="523"/>
      <c r="BM70" s="523"/>
      <c r="BN70" s="524"/>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row>
    <row r="71" spans="1:100" ht="15" customHeight="1" x14ac:dyDescent="0.35">
      <c r="A71" s="56"/>
      <c r="B71" s="307"/>
      <c r="C71" s="307"/>
      <c r="D71" s="308"/>
      <c r="E71" s="468"/>
      <c r="F71" s="469"/>
      <c r="G71" s="469"/>
      <c r="H71" s="469"/>
      <c r="I71" s="474"/>
      <c r="J71" s="451"/>
      <c r="K71" s="452"/>
      <c r="L71" s="452"/>
      <c r="M71" s="452"/>
      <c r="N71" s="452"/>
      <c r="O71" s="452"/>
      <c r="P71" s="452"/>
      <c r="Q71" s="452"/>
      <c r="R71" s="452"/>
      <c r="S71" s="500"/>
      <c r="T71" s="457"/>
      <c r="U71" s="458"/>
      <c r="V71" s="458"/>
      <c r="W71" s="458"/>
      <c r="X71" s="458"/>
      <c r="Y71" s="458"/>
      <c r="Z71" s="458"/>
      <c r="AA71" s="458"/>
      <c r="AB71" s="458"/>
      <c r="AC71" s="461"/>
      <c r="AD71" s="457"/>
      <c r="AE71" s="458"/>
      <c r="AF71" s="458"/>
      <c r="AG71" s="458"/>
      <c r="AH71" s="458"/>
      <c r="AI71" s="458"/>
      <c r="AJ71" s="458"/>
      <c r="AK71" s="458"/>
      <c r="AL71" s="458"/>
      <c r="AM71" s="461"/>
      <c r="AN71" s="491"/>
      <c r="AO71" s="450"/>
      <c r="AP71" s="450"/>
      <c r="AQ71" s="450"/>
      <c r="AR71" s="450"/>
      <c r="AS71" s="450"/>
      <c r="AT71" s="450"/>
      <c r="AU71" s="450"/>
      <c r="AV71" s="450"/>
      <c r="AW71" s="490"/>
      <c r="AX71" s="482"/>
      <c r="AY71" s="480"/>
      <c r="AZ71" s="480"/>
      <c r="BA71" s="480"/>
      <c r="BB71" s="480"/>
      <c r="BC71" s="480"/>
      <c r="BD71" s="480"/>
      <c r="BE71" s="480"/>
      <c r="BF71" s="480"/>
      <c r="BG71" s="481"/>
      <c r="BH71" s="56"/>
      <c r="BI71" s="522"/>
      <c r="BJ71" s="523"/>
      <c r="BK71" s="523"/>
      <c r="BL71" s="523"/>
      <c r="BM71" s="523"/>
      <c r="BN71" s="524"/>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row>
    <row r="72" spans="1:100" ht="15" customHeight="1" x14ac:dyDescent="0.35">
      <c r="A72" s="56"/>
      <c r="B72" s="307"/>
      <c r="C72" s="307"/>
      <c r="D72" s="308"/>
      <c r="E72" s="468"/>
      <c r="F72" s="469"/>
      <c r="G72" s="469"/>
      <c r="H72" s="469"/>
      <c r="I72" s="474"/>
      <c r="J72" s="451" t="str">
        <f>IF(AND('Mapa final'!$K$46="Baja",'Mapa final'!$O$46="Leve"),CONCATENATE("R",'Mapa final'!$A$46),"")</f>
        <v/>
      </c>
      <c r="K72" s="452"/>
      <c r="L72" s="452" t="str">
        <f>IF(AND('Mapa final'!$K$49="Baja",'Mapa final'!$O$49="Leve"),CONCATENATE("R",'Mapa final'!$A$49),"")</f>
        <v/>
      </c>
      <c r="M72" s="452"/>
      <c r="N72" s="452" t="str">
        <f>IF(AND('Mapa final'!$K$52="Baja",'Mapa final'!$O$52="Leve"),CONCATENATE("R",'Mapa final'!$A$52),"")</f>
        <v/>
      </c>
      <c r="O72" s="452"/>
      <c r="P72" s="452" t="str">
        <f>IF(AND('Mapa final'!$K$55="Baja",'Mapa final'!$O$55="Leve"),CONCATENATE("R",'Mapa final'!$A$55),"")</f>
        <v/>
      </c>
      <c r="Q72" s="452"/>
      <c r="R72" s="452" t="str">
        <f>IF(AND('Mapa final'!$K$58="Baja",'Mapa final'!$O$58="Leve"),CONCATENATE("R",'Mapa final'!$A$58),"")</f>
        <v/>
      </c>
      <c r="S72" s="500"/>
      <c r="T72" s="457" t="str">
        <f>IF(AND('Mapa final'!$K$46="Baja",'Mapa final'!$O$46="Menor"),CONCATENATE("R",'Mapa final'!$A$46),"")</f>
        <v/>
      </c>
      <c r="U72" s="458"/>
      <c r="V72" s="458" t="str">
        <f>IF(AND('Mapa final'!$K$49="Baja",'Mapa final'!$O$49="Menor"),CONCATENATE("R",'Mapa final'!$A$49),"")</f>
        <v/>
      </c>
      <c r="W72" s="458"/>
      <c r="X72" s="458" t="str">
        <f>IF(AND('Mapa final'!$K$52="Baja",'Mapa final'!$O$52="Menor"),CONCATENATE("R",'Mapa final'!$A$52),"")</f>
        <v/>
      </c>
      <c r="Y72" s="458"/>
      <c r="Z72" s="458" t="str">
        <f>IF(AND('Mapa final'!$K$55="Baja",'Mapa final'!$O$55="Menor"),CONCATENATE("R",'Mapa final'!$A$55),"")</f>
        <v/>
      </c>
      <c r="AA72" s="458"/>
      <c r="AB72" s="458" t="str">
        <f>IF(AND('Mapa final'!$K$58="Baja",'Mapa final'!$O$58="Menor"),CONCATENATE("R",'Mapa final'!$A$58),"")</f>
        <v/>
      </c>
      <c r="AC72" s="461"/>
      <c r="AD72" s="457" t="str">
        <f>IF(AND('Mapa final'!$K$46="Baja",'Mapa final'!$O$46="Moderado"),CONCATENATE("R",'Mapa final'!$A$46),"")</f>
        <v/>
      </c>
      <c r="AE72" s="458"/>
      <c r="AF72" s="458" t="str">
        <f>IF(AND('Mapa final'!$K$49="Baja",'Mapa final'!$O$49="Moderado"),CONCATENATE("R",'Mapa final'!$A$49),"")</f>
        <v/>
      </c>
      <c r="AG72" s="458"/>
      <c r="AH72" s="458" t="str">
        <f>IF(AND('Mapa final'!$K$52="Baja",'Mapa final'!$O$52="Moderado"),CONCATENATE("R",'Mapa final'!$A$52),"")</f>
        <v/>
      </c>
      <c r="AI72" s="458"/>
      <c r="AJ72" s="458" t="str">
        <f>IF(AND('Mapa final'!$K$55="Baja",'Mapa final'!$O$55="Moderado"),CONCATENATE("R",'Mapa final'!$A$55),"")</f>
        <v/>
      </c>
      <c r="AK72" s="458"/>
      <c r="AL72" s="458" t="str">
        <f>IF(AND('Mapa final'!$K$58="Baja",'Mapa final'!$O$58="Moderado"),CONCATENATE("R",'Mapa final'!$A$58),"")</f>
        <v/>
      </c>
      <c r="AM72" s="461"/>
      <c r="AN72" s="491" t="str">
        <f>IF(AND('Mapa final'!$K$46="Baja",'Mapa final'!$O$46="Mayor"),CONCATENATE("R",'Mapa final'!$A$46),"")</f>
        <v/>
      </c>
      <c r="AO72" s="450"/>
      <c r="AP72" s="450" t="str">
        <f>IF(AND('Mapa final'!$K$49="Baja",'Mapa final'!$O$49="Mayor"),CONCATENATE("R",'Mapa final'!$A$49),"")</f>
        <v/>
      </c>
      <c r="AQ72" s="450"/>
      <c r="AR72" s="450" t="str">
        <f>IF(AND('Mapa final'!$K$52="Baja",'Mapa final'!$O$52="Mayor"),CONCATENATE("R",'Mapa final'!$A$52),"")</f>
        <v/>
      </c>
      <c r="AS72" s="450"/>
      <c r="AT72" s="450" t="str">
        <f>IF(AND('Mapa final'!$K$55="Baja",'Mapa final'!$O$55="Mayor"),CONCATENATE("R",'Mapa final'!$A$55),"")</f>
        <v/>
      </c>
      <c r="AU72" s="450"/>
      <c r="AV72" s="450" t="str">
        <f>IF(AND('Mapa final'!$K$58="Baja",'Mapa final'!$O$58="Mayor"),CONCATENATE("R",'Mapa final'!$A$58),"")</f>
        <v/>
      </c>
      <c r="AW72" s="490"/>
      <c r="AX72" s="482" t="str">
        <f>IF(AND('Mapa final'!$K$46="Baja",'Mapa final'!$O$46="Catastrófico"),CONCATENATE("R",'Mapa final'!$A$46),"")</f>
        <v/>
      </c>
      <c r="AY72" s="480"/>
      <c r="AZ72" s="480" t="str">
        <f>IF(AND('Mapa final'!$K$49="Baja",'Mapa final'!$O$49="Catastrófico"),CONCATENATE("R",'Mapa final'!$A$49),"")</f>
        <v/>
      </c>
      <c r="BA72" s="480"/>
      <c r="BB72" s="480" t="str">
        <f>IF(AND('Mapa final'!$K$52="Baja",'Mapa final'!$O$52="Catastrófico"),CONCATENATE("R",'Mapa final'!$A$52),"")</f>
        <v/>
      </c>
      <c r="BC72" s="480"/>
      <c r="BD72" s="480" t="str">
        <f>IF(AND('Mapa final'!$K$55="Baja",'Mapa final'!$O$55="Catastrófico"),CONCATENATE("R",'Mapa final'!$A$55),"")</f>
        <v/>
      </c>
      <c r="BE72" s="480"/>
      <c r="BF72" s="480" t="str">
        <f>IF(AND('Mapa final'!$K$58="Baja",'Mapa final'!$O$58="Catastrófico"),CONCATENATE("R",'Mapa final'!$A$58),"")</f>
        <v/>
      </c>
      <c r="BG72" s="481"/>
      <c r="BH72" s="56"/>
      <c r="BI72" s="522"/>
      <c r="BJ72" s="523"/>
      <c r="BK72" s="523"/>
      <c r="BL72" s="523"/>
      <c r="BM72" s="523"/>
      <c r="BN72" s="524"/>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15" customHeight="1" thickBot="1" x14ac:dyDescent="0.4">
      <c r="A73" s="56"/>
      <c r="B73" s="307"/>
      <c r="C73" s="307"/>
      <c r="D73" s="308"/>
      <c r="E73" s="468"/>
      <c r="F73" s="469"/>
      <c r="G73" s="469"/>
      <c r="H73" s="469"/>
      <c r="I73" s="474"/>
      <c r="J73" s="451"/>
      <c r="K73" s="452"/>
      <c r="L73" s="452"/>
      <c r="M73" s="452"/>
      <c r="N73" s="452"/>
      <c r="O73" s="452"/>
      <c r="P73" s="452"/>
      <c r="Q73" s="452"/>
      <c r="R73" s="452"/>
      <c r="S73" s="500"/>
      <c r="T73" s="457"/>
      <c r="U73" s="458"/>
      <c r="V73" s="458"/>
      <c r="W73" s="458"/>
      <c r="X73" s="458"/>
      <c r="Y73" s="458"/>
      <c r="Z73" s="458"/>
      <c r="AA73" s="458"/>
      <c r="AB73" s="458"/>
      <c r="AC73" s="461"/>
      <c r="AD73" s="457"/>
      <c r="AE73" s="458"/>
      <c r="AF73" s="458"/>
      <c r="AG73" s="458"/>
      <c r="AH73" s="458"/>
      <c r="AI73" s="458"/>
      <c r="AJ73" s="458"/>
      <c r="AK73" s="458"/>
      <c r="AL73" s="458"/>
      <c r="AM73" s="461"/>
      <c r="AN73" s="491"/>
      <c r="AO73" s="450"/>
      <c r="AP73" s="450"/>
      <c r="AQ73" s="450"/>
      <c r="AR73" s="450"/>
      <c r="AS73" s="450"/>
      <c r="AT73" s="450"/>
      <c r="AU73" s="450"/>
      <c r="AV73" s="450"/>
      <c r="AW73" s="490"/>
      <c r="AX73" s="482"/>
      <c r="AY73" s="480"/>
      <c r="AZ73" s="480"/>
      <c r="BA73" s="480"/>
      <c r="BB73" s="480"/>
      <c r="BC73" s="480"/>
      <c r="BD73" s="480"/>
      <c r="BE73" s="480"/>
      <c r="BF73" s="480"/>
      <c r="BG73" s="481"/>
      <c r="BH73" s="56"/>
      <c r="BI73" s="525"/>
      <c r="BJ73" s="526"/>
      <c r="BK73" s="526"/>
      <c r="BL73" s="526"/>
      <c r="BM73" s="526"/>
      <c r="BN73" s="527"/>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row>
    <row r="74" spans="1:100" ht="15" customHeight="1" x14ac:dyDescent="0.35">
      <c r="A74" s="56"/>
      <c r="B74" s="307"/>
      <c r="C74" s="307"/>
      <c r="D74" s="308"/>
      <c r="E74" s="468"/>
      <c r="F74" s="469"/>
      <c r="G74" s="469"/>
      <c r="H74" s="469"/>
      <c r="I74" s="474"/>
      <c r="J74" s="451" t="str">
        <f>IF(AND('Mapa final'!$K$61="Baja",'Mapa final'!$O$61="Leve"),CONCATENATE("R",'Mapa final'!$A$61),"")</f>
        <v>R20</v>
      </c>
      <c r="K74" s="452"/>
      <c r="L74" s="452" t="str">
        <f>IF(AND('Mapa final'!$K$64="Baja",'Mapa final'!$O$64="Leve"),CONCATENATE("R",'Mapa final'!$A$64),"")</f>
        <v/>
      </c>
      <c r="M74" s="452"/>
      <c r="N74" s="452" t="str">
        <f>IF(AND('Mapa final'!$K$70="Baja",'Mapa final'!$O$70="Leve"),CONCATENATE("R",'Mapa final'!$A$70),"")</f>
        <v/>
      </c>
      <c r="O74" s="452"/>
      <c r="P74" s="452" t="str">
        <f>IF(AND('Mapa final'!$K$73="Baja",'Mapa final'!$O$73="Leve"),CONCATENATE("R",'Mapa final'!$A$73),"")</f>
        <v/>
      </c>
      <c r="Q74" s="452"/>
      <c r="R74" s="452" t="str">
        <f>IF(AND('Mapa final'!$K$76="Baja",'Mapa final'!$O$76="Leve"),CONCATENATE("R",'Mapa final'!$A$76),"")</f>
        <v/>
      </c>
      <c r="S74" s="500"/>
      <c r="T74" s="457" t="str">
        <f>IF(AND('Mapa final'!$K$61="Baja",'Mapa final'!$O$61="Menor"),CONCATENATE("R",'Mapa final'!$A$61),"")</f>
        <v/>
      </c>
      <c r="U74" s="458"/>
      <c r="V74" s="458" t="str">
        <f>IF(AND('Mapa final'!$K$64="Baja",'Mapa final'!$O$64="Menor"),CONCATENATE("R",'Mapa final'!$A$64),"")</f>
        <v>R21</v>
      </c>
      <c r="W74" s="458"/>
      <c r="X74" s="458" t="str">
        <f>IF(AND('Mapa final'!$K$70="Baja",'Mapa final'!$O$70="Menor"),CONCATENATE("R",'Mapa final'!$A$70),"")</f>
        <v/>
      </c>
      <c r="Y74" s="458"/>
      <c r="Z74" s="458" t="str">
        <f>IF(AND('Mapa final'!$K$73="Baja",'Mapa final'!$O$73="Menor"),CONCATENATE("R",'Mapa final'!$A$73),"")</f>
        <v/>
      </c>
      <c r="AA74" s="458"/>
      <c r="AB74" s="458" t="str">
        <f>IF(AND('Mapa final'!$K$76="Baja",'Mapa final'!$O$76="Menor"),CONCATENATE("R",'Mapa final'!$A$76),"")</f>
        <v/>
      </c>
      <c r="AC74" s="461"/>
      <c r="AD74" s="457" t="str">
        <f>IF(AND('Mapa final'!$K$61="Baja",'Mapa final'!$O$61="Moderado"),CONCATENATE("R",'Mapa final'!$A$61),"")</f>
        <v/>
      </c>
      <c r="AE74" s="458"/>
      <c r="AF74" s="458" t="str">
        <f>IF(AND('Mapa final'!$K$64="Baja",'Mapa final'!$O$64="Moderado"),CONCATENATE("R",'Mapa final'!$A$64),"")</f>
        <v/>
      </c>
      <c r="AG74" s="458"/>
      <c r="AH74" s="458" t="str">
        <f>IF(AND('Mapa final'!$K$70="Baja",'Mapa final'!$O$70="Moderado"),CONCATENATE("R",'Mapa final'!$A$70),"")</f>
        <v/>
      </c>
      <c r="AI74" s="458"/>
      <c r="AJ74" s="458" t="str">
        <f>IF(AND('Mapa final'!$K$73="Baja",'Mapa final'!$O$73="Moderado"),CONCATENATE("R",'Mapa final'!$A$73),"")</f>
        <v>R24</v>
      </c>
      <c r="AK74" s="458"/>
      <c r="AL74" s="458" t="str">
        <f>IF(AND('Mapa final'!$K$76="Baja",'Mapa final'!$O$76="Moderado"),CONCATENATE("R",'Mapa final'!$A$76),"")</f>
        <v>R25</v>
      </c>
      <c r="AM74" s="461"/>
      <c r="AN74" s="491" t="str">
        <f>IF(AND('Mapa final'!$K$61="Baja",'Mapa final'!$O$61="Mayor"),CONCATENATE("R",'Mapa final'!$A$61),"")</f>
        <v/>
      </c>
      <c r="AO74" s="450"/>
      <c r="AP74" s="450" t="str">
        <f>IF(AND('Mapa final'!$K$64="Baja",'Mapa final'!$O$64="Mayor"),CONCATENATE("R",'Mapa final'!$A$64),"")</f>
        <v/>
      </c>
      <c r="AQ74" s="450"/>
      <c r="AR74" s="450" t="str">
        <f>IF(AND('Mapa final'!$K$70="Baja",'Mapa final'!$O$70="Mayor"),CONCATENATE("R",'Mapa final'!$A$70),"")</f>
        <v/>
      </c>
      <c r="AS74" s="450"/>
      <c r="AT74" s="450" t="str">
        <f>IF(AND('Mapa final'!$K$73="Baja",'Mapa final'!$O$73="Mayor"),CONCATENATE("R",'Mapa final'!$A$73),"")</f>
        <v/>
      </c>
      <c r="AU74" s="450"/>
      <c r="AV74" s="450" t="str">
        <f>IF(AND('Mapa final'!$K$76="Baja",'Mapa final'!$O$76="Mayor"),CONCATENATE("R",'Mapa final'!$A$76),"")</f>
        <v/>
      </c>
      <c r="AW74" s="490"/>
      <c r="AX74" s="482" t="str">
        <f>IF(AND('Mapa final'!$K$61="Baja",'Mapa final'!$O$61="Catastrófico"),CONCATENATE("R",'Mapa final'!$A$61),"")</f>
        <v/>
      </c>
      <c r="AY74" s="480"/>
      <c r="AZ74" s="480" t="str">
        <f>IF(AND('Mapa final'!$K$64="Baja",'Mapa final'!$O$64="Catastrófico"),CONCATENATE("R",'Mapa final'!$A$64),"")</f>
        <v/>
      </c>
      <c r="BA74" s="480"/>
      <c r="BB74" s="480" t="str">
        <f>IF(AND('Mapa final'!$K$70="Baja",'Mapa final'!$O$70="Catastrófico"),CONCATENATE("R",'Mapa final'!$A$70),"")</f>
        <v/>
      </c>
      <c r="BC74" s="480"/>
      <c r="BD74" s="480" t="str">
        <f>IF(AND('Mapa final'!$K$73="Baja",'Mapa final'!$O$73="Catastrófico"),CONCATENATE("R",'Mapa final'!$A$73),"")</f>
        <v/>
      </c>
      <c r="BE74" s="480"/>
      <c r="BF74" s="480" t="str">
        <f>IF(AND('Mapa final'!$K$76="Baja",'Mapa final'!$O$76="Catastrófico"),CONCATENATE("R",'Mapa final'!$A$76),"")</f>
        <v/>
      </c>
      <c r="BG74" s="481"/>
      <c r="BH74" s="56"/>
      <c r="BI74" s="528" t="s">
        <v>76</v>
      </c>
      <c r="BJ74" s="529"/>
      <c r="BK74" s="529"/>
      <c r="BL74" s="529"/>
      <c r="BM74" s="529"/>
      <c r="BN74" s="530"/>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row>
    <row r="75" spans="1:100" ht="15" customHeight="1" x14ac:dyDescent="0.35">
      <c r="A75" s="56"/>
      <c r="B75" s="307"/>
      <c r="C75" s="307"/>
      <c r="D75" s="308"/>
      <c r="E75" s="468"/>
      <c r="F75" s="469"/>
      <c r="G75" s="469"/>
      <c r="H75" s="469"/>
      <c r="I75" s="474"/>
      <c r="J75" s="451"/>
      <c r="K75" s="452"/>
      <c r="L75" s="452"/>
      <c r="M75" s="452"/>
      <c r="N75" s="452"/>
      <c r="O75" s="452"/>
      <c r="P75" s="452"/>
      <c r="Q75" s="452"/>
      <c r="R75" s="452"/>
      <c r="S75" s="500"/>
      <c r="T75" s="457"/>
      <c r="U75" s="458"/>
      <c r="V75" s="458"/>
      <c r="W75" s="458"/>
      <c r="X75" s="458"/>
      <c r="Y75" s="458"/>
      <c r="Z75" s="458"/>
      <c r="AA75" s="458"/>
      <c r="AB75" s="458"/>
      <c r="AC75" s="461"/>
      <c r="AD75" s="457"/>
      <c r="AE75" s="458"/>
      <c r="AF75" s="458"/>
      <c r="AG75" s="458"/>
      <c r="AH75" s="458"/>
      <c r="AI75" s="458"/>
      <c r="AJ75" s="458"/>
      <c r="AK75" s="458"/>
      <c r="AL75" s="458"/>
      <c r="AM75" s="461"/>
      <c r="AN75" s="491"/>
      <c r="AO75" s="450"/>
      <c r="AP75" s="450"/>
      <c r="AQ75" s="450"/>
      <c r="AR75" s="450"/>
      <c r="AS75" s="450"/>
      <c r="AT75" s="450"/>
      <c r="AU75" s="450"/>
      <c r="AV75" s="450"/>
      <c r="AW75" s="490"/>
      <c r="AX75" s="482"/>
      <c r="AY75" s="480"/>
      <c r="AZ75" s="480"/>
      <c r="BA75" s="480"/>
      <c r="BB75" s="480"/>
      <c r="BC75" s="480"/>
      <c r="BD75" s="480"/>
      <c r="BE75" s="480"/>
      <c r="BF75" s="480"/>
      <c r="BG75" s="481"/>
      <c r="BH75" s="56"/>
      <c r="BI75" s="531"/>
      <c r="BJ75" s="532"/>
      <c r="BK75" s="532"/>
      <c r="BL75" s="532"/>
      <c r="BM75" s="532"/>
      <c r="BN75" s="533"/>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row>
    <row r="76" spans="1:100" ht="15" customHeight="1" x14ac:dyDescent="0.35">
      <c r="A76" s="56"/>
      <c r="B76" s="307"/>
      <c r="C76" s="307"/>
      <c r="D76" s="308"/>
      <c r="E76" s="468"/>
      <c r="F76" s="469"/>
      <c r="G76" s="469"/>
      <c r="H76" s="469"/>
      <c r="I76" s="474"/>
      <c r="J76" s="451" t="str">
        <f>IF(AND('Mapa final'!$K$79="Baja",'Mapa final'!$O$79="Leve"),CONCATENATE("R",'Mapa final'!$A$79),"")</f>
        <v/>
      </c>
      <c r="K76" s="452"/>
      <c r="L76" s="452" t="str">
        <f>IF(AND('Mapa final'!$K$82="Baja",'Mapa final'!$O$82="Leve"),CONCATENATE("R",'Mapa final'!$A$82),"")</f>
        <v/>
      </c>
      <c r="M76" s="452"/>
      <c r="N76" s="452" t="str">
        <f>IF(AND('Mapa final'!$K$85="Baja",'Mapa final'!$O$85="Leve"),CONCATENATE("R",'Mapa final'!$A$85),"")</f>
        <v/>
      </c>
      <c r="O76" s="452"/>
      <c r="P76" s="452" t="str">
        <f>IF(AND('Mapa final'!$K$88="Baja",'Mapa final'!$O$88="Leve"),CONCATENATE("R",'Mapa final'!$A$88),"")</f>
        <v/>
      </c>
      <c r="Q76" s="452"/>
      <c r="R76" s="452" t="str">
        <f>IF(AND('Mapa final'!$K$91="Baja",'Mapa final'!$O$91="Leve"),CONCATENATE("R",'Mapa final'!$A$91),"")</f>
        <v/>
      </c>
      <c r="S76" s="500"/>
      <c r="T76" s="457" t="str">
        <f>IF(AND('Mapa final'!$K$79="Baja",'Mapa final'!$O$79="Menor"),CONCATENATE("R",'Mapa final'!$A$79),"")</f>
        <v/>
      </c>
      <c r="U76" s="458"/>
      <c r="V76" s="458" t="str">
        <f>IF(AND('Mapa final'!$K$82="Baja",'Mapa final'!$O$82="Menor"),CONCATENATE("R",'Mapa final'!$A$82),"")</f>
        <v/>
      </c>
      <c r="W76" s="458"/>
      <c r="X76" s="458" t="str">
        <f>IF(AND('Mapa final'!$K$85="Baja",'Mapa final'!$O$85="Menor"),CONCATENATE("R",'Mapa final'!$A$85),"")</f>
        <v/>
      </c>
      <c r="Y76" s="458"/>
      <c r="Z76" s="458" t="str">
        <f>IF(AND('Mapa final'!$K$88="Baja",'Mapa final'!$O$88="Menor"),CONCATENATE("R",'Mapa final'!$A$88),"")</f>
        <v/>
      </c>
      <c r="AA76" s="458"/>
      <c r="AB76" s="458" t="str">
        <f>IF(AND('Mapa final'!$K$91="Baja",'Mapa final'!$O$91="Menor"),CONCATENATE("R",'Mapa final'!$A$91),"")</f>
        <v/>
      </c>
      <c r="AC76" s="461"/>
      <c r="AD76" s="457" t="str">
        <f>IF(AND('Mapa final'!$K$79="Baja",'Mapa final'!$O$79="Moderado"),CONCATENATE("R",'Mapa final'!$A$79),"")</f>
        <v/>
      </c>
      <c r="AE76" s="458"/>
      <c r="AF76" s="458" t="str">
        <f>IF(AND('Mapa final'!$K$82="Baja",'Mapa final'!$O$82="Moderado"),CONCATENATE("R",'Mapa final'!$A$82),"")</f>
        <v>R27</v>
      </c>
      <c r="AG76" s="458"/>
      <c r="AH76" s="458" t="str">
        <f>IF(AND('Mapa final'!$K$85="Baja",'Mapa final'!$O$85="Moderado"),CONCATENATE("R",'Mapa final'!$A$85),"")</f>
        <v/>
      </c>
      <c r="AI76" s="458"/>
      <c r="AJ76" s="458" t="str">
        <f>IF(AND('Mapa final'!$K$88="Baja",'Mapa final'!$O$88="Moderado"),CONCATENATE("R",'Mapa final'!$A$88),"")</f>
        <v/>
      </c>
      <c r="AK76" s="458"/>
      <c r="AL76" s="458" t="str">
        <f>IF(AND('Mapa final'!$K$91="Baja",'Mapa final'!$O$91="Moderado"),CONCATENATE("R",'Mapa final'!$A$91),"")</f>
        <v/>
      </c>
      <c r="AM76" s="461"/>
      <c r="AN76" s="491" t="str">
        <f>IF(AND('Mapa final'!$K$79="Baja",'Mapa final'!$O$79="Mayor"),CONCATENATE("R",'Mapa final'!$A$79),"")</f>
        <v/>
      </c>
      <c r="AO76" s="450"/>
      <c r="AP76" s="450" t="str">
        <f>IF(AND('Mapa final'!$K$82="Baja",'Mapa final'!$O$82="Mayor"),CONCATENATE("R",'Mapa final'!$A$82),"")</f>
        <v/>
      </c>
      <c r="AQ76" s="450"/>
      <c r="AR76" s="450" t="str">
        <f>IF(AND('Mapa final'!$K$85="Baja",'Mapa final'!$O$85="Mayor"),CONCATENATE("R",'Mapa final'!$A$85),"")</f>
        <v/>
      </c>
      <c r="AS76" s="450"/>
      <c r="AT76" s="450" t="str">
        <f>IF(AND('Mapa final'!$K$88="Baja",'Mapa final'!$O$88="Mayor"),CONCATENATE("R",'Mapa final'!$A$88),"")</f>
        <v/>
      </c>
      <c r="AU76" s="450"/>
      <c r="AV76" s="450" t="str">
        <f>IF(AND('Mapa final'!$K$91="Baja",'Mapa final'!$O$91="Mayor"),CONCATENATE("R",'Mapa final'!$A$91),"")</f>
        <v/>
      </c>
      <c r="AW76" s="490"/>
      <c r="AX76" s="482" t="str">
        <f>IF(AND('Mapa final'!$K$79="Baja",'Mapa final'!$O$79="Catastrófico"),CONCATENATE("R",'Mapa final'!$A$79),"")</f>
        <v/>
      </c>
      <c r="AY76" s="480"/>
      <c r="AZ76" s="480" t="str">
        <f>IF(AND('Mapa final'!$K$82="Baja",'Mapa final'!$O$82="Catastrófico"),CONCATENATE("R",'Mapa final'!$A$82),"")</f>
        <v/>
      </c>
      <c r="BA76" s="480"/>
      <c r="BB76" s="480" t="str">
        <f>IF(AND('Mapa final'!$K$85="Baja",'Mapa final'!$O$85="Catastrófico"),CONCATENATE("R",'Mapa final'!$A$85),"")</f>
        <v/>
      </c>
      <c r="BC76" s="480"/>
      <c r="BD76" s="480" t="str">
        <f>IF(AND('Mapa final'!$K$88="Baja",'Mapa final'!$O$88="Catastrófico"),CONCATENATE("R",'Mapa final'!$A$88),"")</f>
        <v/>
      </c>
      <c r="BE76" s="480"/>
      <c r="BF76" s="480" t="str">
        <f>IF(AND('Mapa final'!$K$91="Baja",'Mapa final'!$O$91="Catastrófico"),CONCATENATE("R",'Mapa final'!$A$91),"")</f>
        <v/>
      </c>
      <c r="BG76" s="481"/>
      <c r="BH76" s="56"/>
      <c r="BI76" s="531"/>
      <c r="BJ76" s="532"/>
      <c r="BK76" s="532"/>
      <c r="BL76" s="532"/>
      <c r="BM76" s="532"/>
      <c r="BN76" s="533"/>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row>
    <row r="77" spans="1:100" ht="15" customHeight="1" x14ac:dyDescent="0.35">
      <c r="A77" s="56"/>
      <c r="B77" s="307"/>
      <c r="C77" s="307"/>
      <c r="D77" s="308"/>
      <c r="E77" s="468"/>
      <c r="F77" s="469"/>
      <c r="G77" s="469"/>
      <c r="H77" s="469"/>
      <c r="I77" s="474"/>
      <c r="J77" s="451"/>
      <c r="K77" s="452"/>
      <c r="L77" s="452"/>
      <c r="M77" s="452"/>
      <c r="N77" s="452"/>
      <c r="O77" s="452"/>
      <c r="P77" s="452"/>
      <c r="Q77" s="452"/>
      <c r="R77" s="452"/>
      <c r="S77" s="500"/>
      <c r="T77" s="457"/>
      <c r="U77" s="458"/>
      <c r="V77" s="458"/>
      <c r="W77" s="458"/>
      <c r="X77" s="458"/>
      <c r="Y77" s="458"/>
      <c r="Z77" s="458"/>
      <c r="AA77" s="458"/>
      <c r="AB77" s="458"/>
      <c r="AC77" s="461"/>
      <c r="AD77" s="457"/>
      <c r="AE77" s="458"/>
      <c r="AF77" s="458"/>
      <c r="AG77" s="458"/>
      <c r="AH77" s="458"/>
      <c r="AI77" s="458"/>
      <c r="AJ77" s="458"/>
      <c r="AK77" s="458"/>
      <c r="AL77" s="458"/>
      <c r="AM77" s="461"/>
      <c r="AN77" s="491"/>
      <c r="AO77" s="450"/>
      <c r="AP77" s="450"/>
      <c r="AQ77" s="450"/>
      <c r="AR77" s="450"/>
      <c r="AS77" s="450"/>
      <c r="AT77" s="450"/>
      <c r="AU77" s="450"/>
      <c r="AV77" s="450"/>
      <c r="AW77" s="490"/>
      <c r="AX77" s="482"/>
      <c r="AY77" s="480"/>
      <c r="AZ77" s="480"/>
      <c r="BA77" s="480"/>
      <c r="BB77" s="480"/>
      <c r="BC77" s="480"/>
      <c r="BD77" s="480"/>
      <c r="BE77" s="480"/>
      <c r="BF77" s="480"/>
      <c r="BG77" s="481"/>
      <c r="BH77" s="56"/>
      <c r="BI77" s="531"/>
      <c r="BJ77" s="532"/>
      <c r="BK77" s="532"/>
      <c r="BL77" s="532"/>
      <c r="BM77" s="532"/>
      <c r="BN77" s="533"/>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row>
    <row r="78" spans="1:100" ht="15" customHeight="1" x14ac:dyDescent="0.35">
      <c r="A78" s="56"/>
      <c r="B78" s="307"/>
      <c r="C78" s="307"/>
      <c r="D78" s="308"/>
      <c r="E78" s="468"/>
      <c r="F78" s="469"/>
      <c r="G78" s="469"/>
      <c r="H78" s="469"/>
      <c r="I78" s="474"/>
      <c r="J78" s="451" t="str">
        <f>IF(AND('Mapa final'!$K$94="Baja",'Mapa final'!$O$94="Leve"),CONCATENATE("R",'Mapa final'!$A$94),"")</f>
        <v/>
      </c>
      <c r="K78" s="452"/>
      <c r="L78" s="452" t="e">
        <f>IF(AND('Mapa final'!#REF!="Baja",'Mapa final'!#REF!="Leve"),CONCATENATE("R",'Mapa final'!#REF!),"")</f>
        <v>#REF!</v>
      </c>
      <c r="M78" s="452"/>
      <c r="N78" s="452" t="str">
        <f>IF(AND('Mapa final'!$K$97="Baja",'Mapa final'!$O$97="Leve"),CONCATENATE("R",'Mapa final'!$A$97),"")</f>
        <v/>
      </c>
      <c r="O78" s="452"/>
      <c r="P78" s="452" t="str">
        <f>IF(AND('Mapa final'!$K$100="Baja",'Mapa final'!$O$100="Leve"),CONCATENATE("R",'Mapa final'!$A$100),"")</f>
        <v/>
      </c>
      <c r="Q78" s="452"/>
      <c r="R78" s="452" t="str">
        <f>IF(AND('Mapa final'!$K$103="Baja",'Mapa final'!$O$103="Leve"),CONCATENATE("R",'Mapa final'!$A$103),"")</f>
        <v/>
      </c>
      <c r="S78" s="500"/>
      <c r="T78" s="457" t="str">
        <f>IF(AND('Mapa final'!$K$94="Baja",'Mapa final'!$O$94="Menor"),CONCATENATE("R",'Mapa final'!$A$94),"")</f>
        <v/>
      </c>
      <c r="U78" s="458"/>
      <c r="V78" s="458" t="e">
        <f>IF(AND('Mapa final'!#REF!="Baja",'Mapa final'!#REF!="Menor"),CONCATENATE("R",'Mapa final'!#REF!),"")</f>
        <v>#REF!</v>
      </c>
      <c r="W78" s="458"/>
      <c r="X78" s="458" t="str">
        <f>IF(AND('Mapa final'!$K$97="Baja",'Mapa final'!$O$97="Menor"),CONCATENATE("R",'Mapa final'!$A$97),"")</f>
        <v/>
      </c>
      <c r="Y78" s="458"/>
      <c r="Z78" s="458" t="str">
        <f>IF(AND('Mapa final'!$K$100="Baja",'Mapa final'!$O$100="Menor"),CONCATENATE("R",'Mapa final'!$A$100),"")</f>
        <v/>
      </c>
      <c r="AA78" s="458"/>
      <c r="AB78" s="458" t="str">
        <f>IF(AND('Mapa final'!$K$103="Baja",'Mapa final'!$O$103="Menor"),CONCATENATE("R",'Mapa final'!$A$103),"")</f>
        <v/>
      </c>
      <c r="AC78" s="461"/>
      <c r="AD78" s="457" t="str">
        <f>IF(AND('Mapa final'!$K$94="Baja",'Mapa final'!$O$94="Moderado"),CONCATENATE("R",'Mapa final'!$A$94),"")</f>
        <v>R31</v>
      </c>
      <c r="AE78" s="458"/>
      <c r="AF78" s="458" t="e">
        <f>IF(AND('Mapa final'!#REF!="Baja",'Mapa final'!#REF!="Moderado"),CONCATENATE("R",'Mapa final'!#REF!),"")</f>
        <v>#REF!</v>
      </c>
      <c r="AG78" s="458"/>
      <c r="AH78" s="458" t="str">
        <f>IF(AND('Mapa final'!$K$97="Baja",'Mapa final'!$O$97="Moderado"),CONCATENATE("R",'Mapa final'!$A$97),"")</f>
        <v/>
      </c>
      <c r="AI78" s="458"/>
      <c r="AJ78" s="458" t="str">
        <f>IF(AND('Mapa final'!$K$100="Baja",'Mapa final'!$O$100="Moderado"),CONCATENATE("R",'Mapa final'!$A$100),"")</f>
        <v/>
      </c>
      <c r="AK78" s="458"/>
      <c r="AL78" s="458" t="str">
        <f>IF(AND('Mapa final'!$K$103="Baja",'Mapa final'!$O$103="Moderado"),CONCATENATE("R",'Mapa final'!$A$103),"")</f>
        <v/>
      </c>
      <c r="AM78" s="461"/>
      <c r="AN78" s="491" t="str">
        <f>IF(AND('Mapa final'!$K$94="Baja",'Mapa final'!$O$94="Mayor"),CONCATENATE("R",'Mapa final'!$A$94),"")</f>
        <v/>
      </c>
      <c r="AO78" s="450"/>
      <c r="AP78" s="450" t="e">
        <f>IF(AND('Mapa final'!#REF!="Baja",'Mapa final'!#REF!="Mayor"),CONCATENATE("R",'Mapa final'!#REF!),"")</f>
        <v>#REF!</v>
      </c>
      <c r="AQ78" s="450"/>
      <c r="AR78" s="450" t="str">
        <f>IF(AND('Mapa final'!$K$97="Baja",'Mapa final'!$O$97="Mayor"),CONCATENATE("R",'Mapa final'!$A$97),"")</f>
        <v/>
      </c>
      <c r="AS78" s="450"/>
      <c r="AT78" s="450" t="str">
        <f>IF(AND('Mapa final'!$K$100="Baja",'Mapa final'!$O$100="Mayor"),CONCATENATE("R",'Mapa final'!$A$100),"")</f>
        <v/>
      </c>
      <c r="AU78" s="450"/>
      <c r="AV78" s="450" t="str">
        <f>IF(AND('Mapa final'!$K$103="Baja",'Mapa final'!$O$103="Mayor"),CONCATENATE("R",'Mapa final'!$A$103),"")</f>
        <v/>
      </c>
      <c r="AW78" s="490"/>
      <c r="AX78" s="482" t="str">
        <f>IF(AND('Mapa final'!$K$94="Baja",'Mapa final'!$O$94="Catastrófico"),CONCATENATE("R",'Mapa final'!$A$94),"")</f>
        <v/>
      </c>
      <c r="AY78" s="480"/>
      <c r="AZ78" s="480" t="e">
        <f>IF(AND('Mapa final'!#REF!="Baja",'Mapa final'!#REF!="Catastrófico"),CONCATENATE("R",'Mapa final'!#REF!),"")</f>
        <v>#REF!</v>
      </c>
      <c r="BA78" s="480"/>
      <c r="BB78" s="480" t="str">
        <f>IF(AND('Mapa final'!$K$97="Baja",'Mapa final'!$O$97="Catastrófico"),CONCATENATE("R",'Mapa final'!$A$97),"")</f>
        <v/>
      </c>
      <c r="BC78" s="480"/>
      <c r="BD78" s="480" t="str">
        <f>IF(AND('Mapa final'!$K$100="Baja",'Mapa final'!$O$100="Catastrófico"),CONCATENATE("R",'Mapa final'!$A$100),"")</f>
        <v/>
      </c>
      <c r="BE78" s="480"/>
      <c r="BF78" s="480" t="str">
        <f>IF(AND('Mapa final'!$K$103="Baja",'Mapa final'!$O$103="Catastrófico"),CONCATENATE("R",'Mapa final'!$A$103),"")</f>
        <v/>
      </c>
      <c r="BG78" s="481"/>
      <c r="BH78" s="56"/>
      <c r="BI78" s="531"/>
      <c r="BJ78" s="532"/>
      <c r="BK78" s="532"/>
      <c r="BL78" s="532"/>
      <c r="BM78" s="532"/>
      <c r="BN78" s="533"/>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15" customHeight="1" x14ac:dyDescent="0.35">
      <c r="A79" s="56"/>
      <c r="B79" s="307"/>
      <c r="C79" s="307"/>
      <c r="D79" s="308"/>
      <c r="E79" s="468"/>
      <c r="F79" s="469"/>
      <c r="G79" s="469"/>
      <c r="H79" s="469"/>
      <c r="I79" s="474"/>
      <c r="J79" s="451"/>
      <c r="K79" s="452"/>
      <c r="L79" s="452"/>
      <c r="M79" s="452"/>
      <c r="N79" s="452"/>
      <c r="O79" s="452"/>
      <c r="P79" s="452"/>
      <c r="Q79" s="452"/>
      <c r="R79" s="452"/>
      <c r="S79" s="500"/>
      <c r="T79" s="457"/>
      <c r="U79" s="458"/>
      <c r="V79" s="458"/>
      <c r="W79" s="458"/>
      <c r="X79" s="458"/>
      <c r="Y79" s="458"/>
      <c r="Z79" s="458"/>
      <c r="AA79" s="458"/>
      <c r="AB79" s="458"/>
      <c r="AC79" s="461"/>
      <c r="AD79" s="457"/>
      <c r="AE79" s="458"/>
      <c r="AF79" s="458"/>
      <c r="AG79" s="458"/>
      <c r="AH79" s="458"/>
      <c r="AI79" s="458"/>
      <c r="AJ79" s="458"/>
      <c r="AK79" s="458"/>
      <c r="AL79" s="458"/>
      <c r="AM79" s="461"/>
      <c r="AN79" s="491"/>
      <c r="AO79" s="450"/>
      <c r="AP79" s="450"/>
      <c r="AQ79" s="450"/>
      <c r="AR79" s="450"/>
      <c r="AS79" s="450"/>
      <c r="AT79" s="450"/>
      <c r="AU79" s="450"/>
      <c r="AV79" s="450"/>
      <c r="AW79" s="490"/>
      <c r="AX79" s="482"/>
      <c r="AY79" s="480"/>
      <c r="AZ79" s="480"/>
      <c r="BA79" s="480"/>
      <c r="BB79" s="480"/>
      <c r="BC79" s="480"/>
      <c r="BD79" s="480"/>
      <c r="BE79" s="480"/>
      <c r="BF79" s="480"/>
      <c r="BG79" s="481"/>
      <c r="BH79" s="56"/>
      <c r="BI79" s="531"/>
      <c r="BJ79" s="532"/>
      <c r="BK79" s="532"/>
      <c r="BL79" s="532"/>
      <c r="BM79" s="532"/>
      <c r="BN79" s="533"/>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15" customHeight="1" x14ac:dyDescent="0.35">
      <c r="A80" s="56"/>
      <c r="B80" s="307"/>
      <c r="C80" s="307"/>
      <c r="D80" s="308"/>
      <c r="E80" s="468"/>
      <c r="F80" s="469"/>
      <c r="G80" s="469"/>
      <c r="H80" s="469"/>
      <c r="I80" s="474"/>
      <c r="J80" s="451" t="str">
        <f>IF(AND('Mapa final'!$K$106="Baja",'Mapa final'!$O$106="Leve"),CONCATENATE("R",'Mapa final'!$A$106),"")</f>
        <v/>
      </c>
      <c r="K80" s="452"/>
      <c r="L80" s="452" t="str">
        <f>IF(AND('Mapa final'!$K$109="Baja",'Mapa final'!$O$109="Leve"),CONCATENATE("R",'Mapa final'!$A$109),"")</f>
        <v/>
      </c>
      <c r="M80" s="452"/>
      <c r="N80" s="452" t="str">
        <f>IF(AND('Mapa final'!$K$112="Baja",'Mapa final'!$O$112="Leve"),CONCATENATE("R",'Mapa final'!$A$112),"")</f>
        <v/>
      </c>
      <c r="O80" s="452"/>
      <c r="P80" s="452" t="str">
        <f>IF(AND('Mapa final'!$K$115="Baja",'Mapa final'!$O$115="Leve"),CONCATENATE("R",'Mapa final'!$A$115),"")</f>
        <v/>
      </c>
      <c r="Q80" s="452"/>
      <c r="R80" s="452" t="str">
        <f>IF(AND('Mapa final'!$K$118="Baja",'Mapa final'!$O$118="Leve"),CONCATENATE("R",'Mapa final'!$A$118),"")</f>
        <v/>
      </c>
      <c r="S80" s="500"/>
      <c r="T80" s="457" t="str">
        <f>IF(AND('Mapa final'!$K$106="Baja",'Mapa final'!$O$106="Menor"),CONCATENATE("R",'Mapa final'!$A$106),"")</f>
        <v/>
      </c>
      <c r="U80" s="458"/>
      <c r="V80" s="458" t="str">
        <f>IF(AND('Mapa final'!$K$109="Baja",'Mapa final'!$O$109="Menor"),CONCATENATE("R",'Mapa final'!$A$109),"")</f>
        <v/>
      </c>
      <c r="W80" s="458"/>
      <c r="X80" s="458" t="str">
        <f>IF(AND('Mapa final'!$K$112="Baja",'Mapa final'!$O$112="Menor"),CONCATENATE("R",'Mapa final'!$A$112),"")</f>
        <v>R37</v>
      </c>
      <c r="Y80" s="458"/>
      <c r="Z80" s="458" t="str">
        <f>IF(AND('Mapa final'!$K$115="Baja",'Mapa final'!$O$115="Menor"),CONCATENATE("R",'Mapa final'!$A$115),"")</f>
        <v/>
      </c>
      <c r="AA80" s="458"/>
      <c r="AB80" s="458" t="str">
        <f>IF(AND('Mapa final'!$K$118="Baja",'Mapa final'!$O$118="Menor"),CONCATENATE("R",'Mapa final'!$A$118),"")</f>
        <v/>
      </c>
      <c r="AC80" s="461"/>
      <c r="AD80" s="457" t="str">
        <f>IF(AND('Mapa final'!$K$106="Baja",'Mapa final'!$O$106="Moderado"),CONCATENATE("R",'Mapa final'!$A$106),"")</f>
        <v/>
      </c>
      <c r="AE80" s="458"/>
      <c r="AF80" s="458" t="str">
        <f>IF(AND('Mapa final'!$K$109="Baja",'Mapa final'!$O$109="Moderado"),CONCATENATE("R",'Mapa final'!$A$109),"")</f>
        <v/>
      </c>
      <c r="AG80" s="458"/>
      <c r="AH80" s="458" t="str">
        <f>IF(AND('Mapa final'!$K$112="Baja",'Mapa final'!$O$112="Moderado"),CONCATENATE("R",'Mapa final'!$A$112),"")</f>
        <v/>
      </c>
      <c r="AI80" s="458"/>
      <c r="AJ80" s="458" t="str">
        <f>IF(AND('Mapa final'!$K$115="Baja",'Mapa final'!$O$115="Moderado"),CONCATENATE("R",'Mapa final'!$A$115),"")</f>
        <v/>
      </c>
      <c r="AK80" s="458"/>
      <c r="AL80" s="458" t="str">
        <f>IF(AND('Mapa final'!$K$118="Baja",'Mapa final'!$O$118="Moderado"),CONCATENATE("R",'Mapa final'!$A$118),"")</f>
        <v/>
      </c>
      <c r="AM80" s="461"/>
      <c r="AN80" s="491" t="str">
        <f>IF(AND('Mapa final'!$K$106="Baja",'Mapa final'!$O$106="Mayor"),CONCATENATE("R",'Mapa final'!$A$106),"")</f>
        <v/>
      </c>
      <c r="AO80" s="450"/>
      <c r="AP80" s="450" t="str">
        <f>IF(AND('Mapa final'!$K$109="Baja",'Mapa final'!$O$109="Mayor"),CONCATENATE("R",'Mapa final'!$A$109),"")</f>
        <v/>
      </c>
      <c r="AQ80" s="450"/>
      <c r="AR80" s="450" t="str">
        <f>IF(AND('Mapa final'!$K$112="Baja",'Mapa final'!$O$112="Mayor"),CONCATENATE("R",'Mapa final'!$A$112),"")</f>
        <v/>
      </c>
      <c r="AS80" s="450"/>
      <c r="AT80" s="450" t="str">
        <f>IF(AND('Mapa final'!$K$115="Baja",'Mapa final'!$O$115="Mayor"),CONCATENATE("R",'Mapa final'!$A$115),"")</f>
        <v/>
      </c>
      <c r="AU80" s="450"/>
      <c r="AV80" s="450" t="str">
        <f>IF(AND('Mapa final'!$K$118="Baja",'Mapa final'!$O$118="Mayor"),CONCATENATE("R",'Mapa final'!$A$118),"")</f>
        <v/>
      </c>
      <c r="AW80" s="490"/>
      <c r="AX80" s="482" t="str">
        <f>IF(AND('Mapa final'!$K$106="Baja",'Mapa final'!$O$106="Catastrófico"),CONCATENATE("R",'Mapa final'!$A$106),"")</f>
        <v/>
      </c>
      <c r="AY80" s="480"/>
      <c r="AZ80" s="480" t="str">
        <f>IF(AND('Mapa final'!$K$109="Baja",'Mapa final'!$O$109="Catastrófico"),CONCATENATE("R",'Mapa final'!$A$109),"")</f>
        <v/>
      </c>
      <c r="BA80" s="480"/>
      <c r="BB80" s="480" t="str">
        <f>IF(AND('Mapa final'!$K$112="Baja",'Mapa final'!$O$112="Catastrófico"),CONCATENATE("R",'Mapa final'!$A$112),"")</f>
        <v/>
      </c>
      <c r="BC80" s="480"/>
      <c r="BD80" s="480" t="str">
        <f>IF(AND('Mapa final'!$K$115="Baja",'Mapa final'!$O$115="Catastrófico"),CONCATENATE("R",'Mapa final'!$A$115),"")</f>
        <v/>
      </c>
      <c r="BE80" s="480"/>
      <c r="BF80" s="480" t="str">
        <f>IF(AND('Mapa final'!$K$118="Baja",'Mapa final'!$O$118="Catastrófico"),CONCATENATE("R",'Mapa final'!$A$118),"")</f>
        <v/>
      </c>
      <c r="BG80" s="481"/>
      <c r="BH80" s="56"/>
      <c r="BI80" s="531"/>
      <c r="BJ80" s="532"/>
      <c r="BK80" s="532"/>
      <c r="BL80" s="532"/>
      <c r="BM80" s="532"/>
      <c r="BN80" s="533"/>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15" customHeight="1" x14ac:dyDescent="0.35">
      <c r="A81" s="56"/>
      <c r="B81" s="307"/>
      <c r="C81" s="307"/>
      <c r="D81" s="308"/>
      <c r="E81" s="468"/>
      <c r="F81" s="469"/>
      <c r="G81" s="469"/>
      <c r="H81" s="469"/>
      <c r="I81" s="474"/>
      <c r="J81" s="451"/>
      <c r="K81" s="452"/>
      <c r="L81" s="452"/>
      <c r="M81" s="452"/>
      <c r="N81" s="452"/>
      <c r="O81" s="452"/>
      <c r="P81" s="452"/>
      <c r="Q81" s="452"/>
      <c r="R81" s="452"/>
      <c r="S81" s="500"/>
      <c r="T81" s="457"/>
      <c r="U81" s="458"/>
      <c r="V81" s="458"/>
      <c r="W81" s="458"/>
      <c r="X81" s="458"/>
      <c r="Y81" s="458"/>
      <c r="Z81" s="458"/>
      <c r="AA81" s="458"/>
      <c r="AB81" s="458"/>
      <c r="AC81" s="461"/>
      <c r="AD81" s="457"/>
      <c r="AE81" s="458"/>
      <c r="AF81" s="458"/>
      <c r="AG81" s="458"/>
      <c r="AH81" s="458"/>
      <c r="AI81" s="458"/>
      <c r="AJ81" s="458"/>
      <c r="AK81" s="458"/>
      <c r="AL81" s="458"/>
      <c r="AM81" s="461"/>
      <c r="AN81" s="491"/>
      <c r="AO81" s="450"/>
      <c r="AP81" s="450"/>
      <c r="AQ81" s="450"/>
      <c r="AR81" s="450"/>
      <c r="AS81" s="450"/>
      <c r="AT81" s="450"/>
      <c r="AU81" s="450"/>
      <c r="AV81" s="450"/>
      <c r="AW81" s="490"/>
      <c r="AX81" s="482"/>
      <c r="AY81" s="480"/>
      <c r="AZ81" s="480"/>
      <c r="BA81" s="480"/>
      <c r="BB81" s="480"/>
      <c r="BC81" s="480"/>
      <c r="BD81" s="480"/>
      <c r="BE81" s="480"/>
      <c r="BF81" s="480"/>
      <c r="BG81" s="481"/>
      <c r="BH81" s="56"/>
      <c r="BI81" s="531"/>
      <c r="BJ81" s="532"/>
      <c r="BK81" s="532"/>
      <c r="BL81" s="532"/>
      <c r="BM81" s="532"/>
      <c r="BN81" s="533"/>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15" customHeight="1" x14ac:dyDescent="0.35">
      <c r="A82" s="56"/>
      <c r="B82" s="307"/>
      <c r="C82" s="307"/>
      <c r="D82" s="308"/>
      <c r="E82" s="468"/>
      <c r="F82" s="469"/>
      <c r="G82" s="469"/>
      <c r="H82" s="469"/>
      <c r="I82" s="474"/>
      <c r="J82" s="451" t="str">
        <f>IF(AND('Mapa final'!$K$121="Baja",'Mapa final'!$O$121="Leve"),CONCATENATE("R",'Mapa final'!$A$121),"")</f>
        <v/>
      </c>
      <c r="K82" s="452"/>
      <c r="L82" s="452" t="str">
        <f>IF(AND('Mapa final'!$K$124="Baja",'Mapa final'!$O$124="Leve"),CONCATENATE("R",'Mapa final'!$A$124),"")</f>
        <v/>
      </c>
      <c r="M82" s="452"/>
      <c r="N82" s="452" t="str">
        <f>IF(AND('Mapa final'!$K$127="Baja",'Mapa final'!$O$127="Leve"),CONCATENATE("R",'Mapa final'!$A$127),"")</f>
        <v/>
      </c>
      <c r="O82" s="452"/>
      <c r="P82" s="452" t="str">
        <f>IF(AND('Mapa final'!$K$130="Baja",'Mapa final'!$O$130="Leve"),CONCATENATE("R",'Mapa final'!$A$130),"")</f>
        <v/>
      </c>
      <c r="Q82" s="452"/>
      <c r="R82" s="452" t="str">
        <f>IF(AND('Mapa final'!$K$133="Baja",'Mapa final'!$O$133="Leve"),CONCATENATE("R",'Mapa final'!$A$133),"")</f>
        <v/>
      </c>
      <c r="S82" s="500"/>
      <c r="T82" s="457" t="str">
        <f>IF(AND('Mapa final'!$K$121="Baja",'Mapa final'!$O$121="Menor"),CONCATENATE("R",'Mapa final'!$A$121),"")</f>
        <v/>
      </c>
      <c r="U82" s="458"/>
      <c r="V82" s="458" t="str">
        <f>IF(AND('Mapa final'!$K$124="Baja",'Mapa final'!$O$124="Menor"),CONCATENATE("R",'Mapa final'!$A$124),"")</f>
        <v/>
      </c>
      <c r="W82" s="458"/>
      <c r="X82" s="458" t="str">
        <f>IF(AND('Mapa final'!$K$127="Baja",'Mapa final'!$O$127="Menor"),CONCATENATE("R",'Mapa final'!$A$127),"")</f>
        <v/>
      </c>
      <c r="Y82" s="458"/>
      <c r="Z82" s="458" t="str">
        <f>IF(AND('Mapa final'!$K$130="Baja",'Mapa final'!$O$130="Menor"),CONCATENATE("R",'Mapa final'!$A$130),"")</f>
        <v/>
      </c>
      <c r="AA82" s="458"/>
      <c r="AB82" s="458" t="str">
        <f>IF(AND('Mapa final'!$K$133="Baja",'Mapa final'!$O$133="Menor"),CONCATENATE("R",'Mapa final'!$A$133),"")</f>
        <v/>
      </c>
      <c r="AC82" s="461"/>
      <c r="AD82" s="457" t="str">
        <f>IF(AND('Mapa final'!$K$121="Baja",'Mapa final'!$O$121="Moderado"),CONCATENATE("R",'Mapa final'!$A$121),"")</f>
        <v/>
      </c>
      <c r="AE82" s="458"/>
      <c r="AF82" s="458" t="str">
        <f>IF(AND('Mapa final'!$K$124="Baja",'Mapa final'!$O$124="Moderado"),CONCATENATE("R",'Mapa final'!$A$124),"")</f>
        <v>R41</v>
      </c>
      <c r="AG82" s="458"/>
      <c r="AH82" s="458" t="str">
        <f>IF(AND('Mapa final'!$K$127="Baja",'Mapa final'!$O$127="Moderado"),CONCATENATE("R",'Mapa final'!$A$127),"")</f>
        <v/>
      </c>
      <c r="AI82" s="458"/>
      <c r="AJ82" s="458" t="str">
        <f>IF(AND('Mapa final'!$K$130="Baja",'Mapa final'!$O$130="Moderado"),CONCATENATE("R",'Mapa final'!$A$130),"")</f>
        <v/>
      </c>
      <c r="AK82" s="458"/>
      <c r="AL82" s="458" t="str">
        <f>IF(AND('Mapa final'!$K$133="Baja",'Mapa final'!$O$133="Moderado"),CONCATENATE("R",'Mapa final'!$A$133),"")</f>
        <v/>
      </c>
      <c r="AM82" s="461"/>
      <c r="AN82" s="491" t="str">
        <f>IF(AND('Mapa final'!$K$121="Baja",'Mapa final'!$O$121="Mayor"),CONCATENATE("R",'Mapa final'!$A$121),"")</f>
        <v/>
      </c>
      <c r="AO82" s="450"/>
      <c r="AP82" s="450" t="str">
        <f>IF(AND('Mapa final'!$K$124="Baja",'Mapa final'!$O$124="Mayor"),CONCATENATE("R",'Mapa final'!$A$124),"")</f>
        <v/>
      </c>
      <c r="AQ82" s="450"/>
      <c r="AR82" s="450" t="str">
        <f>IF(AND('Mapa final'!$K$127="Baja",'Mapa final'!$O$127="Mayor"),CONCATENATE("R",'Mapa final'!$A$127),"")</f>
        <v/>
      </c>
      <c r="AS82" s="450"/>
      <c r="AT82" s="450" t="str">
        <f>IF(AND('Mapa final'!$K$130="Baja",'Mapa final'!$O$130="Mayor"),CONCATENATE("R",'Mapa final'!$A$130),"")</f>
        <v/>
      </c>
      <c r="AU82" s="450"/>
      <c r="AV82" s="450" t="str">
        <f>IF(AND('Mapa final'!$K$133="Baja",'Mapa final'!$O$133="Mayor"),CONCATENATE("R",'Mapa final'!$A$133),"")</f>
        <v/>
      </c>
      <c r="AW82" s="490"/>
      <c r="AX82" s="482" t="str">
        <f>IF(AND('Mapa final'!$K$121="Baja",'Mapa final'!$O$121="Catastrófico"),CONCATENATE("R",'Mapa final'!$A$121),"")</f>
        <v/>
      </c>
      <c r="AY82" s="480"/>
      <c r="AZ82" s="480" t="str">
        <f>IF(AND('Mapa final'!$K$124="Baja",'Mapa final'!$O$124="Catastrófico"),CONCATENATE("R",'Mapa final'!$A$124),"")</f>
        <v/>
      </c>
      <c r="BA82" s="480"/>
      <c r="BB82" s="480" t="str">
        <f>IF(AND('Mapa final'!$K$127="Baja",'Mapa final'!$O$127="Catastrófico"),CONCATENATE("R",'Mapa final'!$A$127),"")</f>
        <v/>
      </c>
      <c r="BC82" s="480"/>
      <c r="BD82" s="480" t="str">
        <f>IF(AND('Mapa final'!$K$130="Baja",'Mapa final'!$O$130="Catastrófico"),CONCATENATE("R",'Mapa final'!$A$130),"")</f>
        <v/>
      </c>
      <c r="BE82" s="480"/>
      <c r="BF82" s="480" t="str">
        <f>IF(AND('Mapa final'!$K$133="Baja",'Mapa final'!$O$133="Catastrófico"),CONCATENATE("R",'Mapa final'!$A$133),"")</f>
        <v/>
      </c>
      <c r="BG82" s="481"/>
      <c r="BH82" s="56"/>
      <c r="BI82" s="531"/>
      <c r="BJ82" s="532"/>
      <c r="BK82" s="532"/>
      <c r="BL82" s="532"/>
      <c r="BM82" s="532"/>
      <c r="BN82" s="533"/>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15" customHeight="1" x14ac:dyDescent="0.35">
      <c r="A83" s="56"/>
      <c r="B83" s="307"/>
      <c r="C83" s="307"/>
      <c r="D83" s="308"/>
      <c r="E83" s="468"/>
      <c r="F83" s="469"/>
      <c r="G83" s="469"/>
      <c r="H83" s="469"/>
      <c r="I83" s="474"/>
      <c r="J83" s="451"/>
      <c r="K83" s="452"/>
      <c r="L83" s="452"/>
      <c r="M83" s="452"/>
      <c r="N83" s="452"/>
      <c r="O83" s="452"/>
      <c r="P83" s="452"/>
      <c r="Q83" s="452"/>
      <c r="R83" s="452"/>
      <c r="S83" s="500"/>
      <c r="T83" s="457"/>
      <c r="U83" s="458"/>
      <c r="V83" s="458"/>
      <c r="W83" s="458"/>
      <c r="X83" s="458"/>
      <c r="Y83" s="458"/>
      <c r="Z83" s="458"/>
      <c r="AA83" s="458"/>
      <c r="AB83" s="458"/>
      <c r="AC83" s="461"/>
      <c r="AD83" s="457"/>
      <c r="AE83" s="458"/>
      <c r="AF83" s="458"/>
      <c r="AG83" s="458"/>
      <c r="AH83" s="458"/>
      <c r="AI83" s="458"/>
      <c r="AJ83" s="458"/>
      <c r="AK83" s="458"/>
      <c r="AL83" s="458"/>
      <c r="AM83" s="461"/>
      <c r="AN83" s="491"/>
      <c r="AO83" s="450"/>
      <c r="AP83" s="450"/>
      <c r="AQ83" s="450"/>
      <c r="AR83" s="450"/>
      <c r="AS83" s="450"/>
      <c r="AT83" s="450"/>
      <c r="AU83" s="450"/>
      <c r="AV83" s="450"/>
      <c r="AW83" s="490"/>
      <c r="AX83" s="482"/>
      <c r="AY83" s="480"/>
      <c r="AZ83" s="480"/>
      <c r="BA83" s="480"/>
      <c r="BB83" s="480"/>
      <c r="BC83" s="480"/>
      <c r="BD83" s="480"/>
      <c r="BE83" s="480"/>
      <c r="BF83" s="480"/>
      <c r="BG83" s="481"/>
      <c r="BH83" s="56"/>
      <c r="BI83" s="531"/>
      <c r="BJ83" s="532"/>
      <c r="BK83" s="532"/>
      <c r="BL83" s="532"/>
      <c r="BM83" s="532"/>
      <c r="BN83" s="533"/>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15" customHeight="1" x14ac:dyDescent="0.35">
      <c r="A84" s="56"/>
      <c r="B84" s="307"/>
      <c r="C84" s="307"/>
      <c r="D84" s="308"/>
      <c r="E84" s="468"/>
      <c r="F84" s="469"/>
      <c r="G84" s="469"/>
      <c r="H84" s="469"/>
      <c r="I84" s="474"/>
      <c r="J84" s="451" t="str">
        <f>IF(AND('Mapa final'!$K$136="Baja",'Mapa final'!$O$136="Leve"),CONCATENATE("R",'Mapa final'!$A$136),"")</f>
        <v/>
      </c>
      <c r="K84" s="452"/>
      <c r="L84" s="452" t="str">
        <f>IF(AND('Mapa final'!$K$139="Baja",'Mapa final'!$O$139="Leve"),CONCATENATE("R",'Mapa final'!$A$139),"")</f>
        <v/>
      </c>
      <c r="M84" s="452"/>
      <c r="N84" s="452" t="str">
        <f>IF(AND('Mapa final'!$K$142="Baja",'Mapa final'!$O$142="Leve"),CONCATENATE("R",'Mapa final'!$A$142),"")</f>
        <v/>
      </c>
      <c r="O84" s="452"/>
      <c r="P84" s="452" t="str">
        <f>IF(AND('Mapa final'!$K$145="Baja",'Mapa final'!$O$145="Leve"),CONCATENATE("R",'Mapa final'!$A$145),"")</f>
        <v/>
      </c>
      <c r="Q84" s="452"/>
      <c r="R84" s="452" t="str">
        <f>IF(AND('Mapa final'!$K$148="Baja",'Mapa final'!$O$148="Leve"),CONCATENATE("R",'Mapa final'!$A$148),"")</f>
        <v/>
      </c>
      <c r="S84" s="500"/>
      <c r="T84" s="457" t="str">
        <f>IF(AND('Mapa final'!$K$136="Baja",'Mapa final'!$O$136="Menor"),CONCATENATE("R",'Mapa final'!$A$136),"")</f>
        <v/>
      </c>
      <c r="U84" s="458"/>
      <c r="V84" s="458" t="str">
        <f>IF(AND('Mapa final'!$K$139="Baja",'Mapa final'!$O$139="Menor"),CONCATENATE("R",'Mapa final'!$A$139),"")</f>
        <v/>
      </c>
      <c r="W84" s="458"/>
      <c r="X84" s="458" t="str">
        <f>IF(AND('Mapa final'!$K$142="Baja",'Mapa final'!$O$142="Menor"),CONCATENATE("R",'Mapa final'!$A$142),"")</f>
        <v/>
      </c>
      <c r="Y84" s="458"/>
      <c r="Z84" s="458" t="str">
        <f>IF(AND('Mapa final'!$K$145="Baja",'Mapa final'!$O$145="Menor"),CONCATENATE("R",'Mapa final'!$A$145),"")</f>
        <v/>
      </c>
      <c r="AA84" s="458"/>
      <c r="AB84" s="458" t="str">
        <f>IF(AND('Mapa final'!$K$148="Baja",'Mapa final'!$O$148="Menor"),CONCATENATE("R",'Mapa final'!$A$148),"")</f>
        <v/>
      </c>
      <c r="AC84" s="461"/>
      <c r="AD84" s="457" t="str">
        <f>IF(AND('Mapa final'!$K$136="Baja",'Mapa final'!$O$136="Moderado"),CONCATENATE("R",'Mapa final'!$A$136),"")</f>
        <v/>
      </c>
      <c r="AE84" s="458"/>
      <c r="AF84" s="458" t="str">
        <f>IF(AND('Mapa final'!$K$139="Baja",'Mapa final'!$O$139="Moderado"),CONCATENATE("R",'Mapa final'!$A$139),"")</f>
        <v>R46</v>
      </c>
      <c r="AG84" s="458"/>
      <c r="AH84" s="458" t="str">
        <f>IF(AND('Mapa final'!$K$142="Baja",'Mapa final'!$O$142="Moderado"),CONCATENATE("R",'Mapa final'!$A$142),"")</f>
        <v>R</v>
      </c>
      <c r="AI84" s="458"/>
      <c r="AJ84" s="458" t="str">
        <f>IF(AND('Mapa final'!$K$145="Baja",'Mapa final'!$O$145="Moderado"),CONCATENATE("R",'Mapa final'!$A$145),"")</f>
        <v/>
      </c>
      <c r="AK84" s="458"/>
      <c r="AL84" s="458" t="str">
        <f>IF(AND('Mapa final'!$K$148="Baja",'Mapa final'!$O$148="Moderado"),CONCATENATE("R",'Mapa final'!$A$148),"")</f>
        <v/>
      </c>
      <c r="AM84" s="461"/>
      <c r="AN84" s="491" t="str">
        <f>IF(AND('Mapa final'!$K$136="Baja",'Mapa final'!$O$136="Mayor"),CONCATENATE("R",'Mapa final'!$A$136),"")</f>
        <v>R45</v>
      </c>
      <c r="AO84" s="450"/>
      <c r="AP84" s="450" t="str">
        <f>IF(AND('Mapa final'!$K$139="Baja",'Mapa final'!$O$139="Mayor"),CONCATENATE("R",'Mapa final'!$A$139),"")</f>
        <v/>
      </c>
      <c r="AQ84" s="450"/>
      <c r="AR84" s="450" t="str">
        <f>IF(AND('Mapa final'!$K$142="Baja",'Mapa final'!$O$142="Mayor"),CONCATENATE("R",'Mapa final'!$A$142),"")</f>
        <v/>
      </c>
      <c r="AS84" s="450"/>
      <c r="AT84" s="450" t="str">
        <f>IF(AND('Mapa final'!$K$145="Baja",'Mapa final'!$O$145="Mayor"),CONCATENATE("R",'Mapa final'!$A$145),"")</f>
        <v/>
      </c>
      <c r="AU84" s="450"/>
      <c r="AV84" s="450" t="str">
        <f>IF(AND('Mapa final'!$K$148="Baja",'Mapa final'!$O$148="Mayor"),CONCATENATE("R",'Mapa final'!$A$148),"")</f>
        <v/>
      </c>
      <c r="AW84" s="490"/>
      <c r="AX84" s="482" t="str">
        <f>IF(AND('Mapa final'!$K$136="Baja",'Mapa final'!$O$136="Catastrófico"),CONCATENATE("R",'Mapa final'!$A$136),"")</f>
        <v/>
      </c>
      <c r="AY84" s="480"/>
      <c r="AZ84" s="480" t="str">
        <f>IF(AND('Mapa final'!$K$139="Baja",'Mapa final'!$O$139="Catastrófico"),CONCATENATE("R",'Mapa final'!$A$139),"")</f>
        <v/>
      </c>
      <c r="BA84" s="480"/>
      <c r="BB84" s="480" t="str">
        <f>IF(AND('Mapa final'!$K$142="Baja",'Mapa final'!$O$142="Catastrófico"),CONCATENATE("R",'Mapa final'!$A$142),"")</f>
        <v/>
      </c>
      <c r="BC84" s="480"/>
      <c r="BD84" s="480" t="str">
        <f>IF(AND('Mapa final'!$K$145="Baja",'Mapa final'!$O$145="Catastrófico"),CONCATENATE("R",'Mapa final'!$A$145),"")</f>
        <v/>
      </c>
      <c r="BE84" s="480"/>
      <c r="BF84" s="480" t="str">
        <f>IF(AND('Mapa final'!$K$148="Baja",'Mapa final'!$O$148="Catastrófico"),CONCATENATE("R",'Mapa final'!$A$148),"")</f>
        <v/>
      </c>
      <c r="BG84" s="481"/>
      <c r="BH84" s="56"/>
      <c r="BI84" s="531"/>
      <c r="BJ84" s="532"/>
      <c r="BK84" s="532"/>
      <c r="BL84" s="532"/>
      <c r="BM84" s="532"/>
      <c r="BN84" s="533"/>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row>
    <row r="85" spans="1:100" ht="15.75" customHeight="1" thickBot="1" x14ac:dyDescent="0.4">
      <c r="A85" s="56"/>
      <c r="B85" s="307"/>
      <c r="C85" s="307"/>
      <c r="D85" s="308"/>
      <c r="E85" s="471"/>
      <c r="F85" s="472"/>
      <c r="G85" s="472"/>
      <c r="H85" s="472"/>
      <c r="I85" s="472"/>
      <c r="J85" s="453"/>
      <c r="K85" s="454"/>
      <c r="L85" s="454"/>
      <c r="M85" s="454"/>
      <c r="N85" s="454"/>
      <c r="O85" s="454"/>
      <c r="P85" s="454"/>
      <c r="Q85" s="454"/>
      <c r="R85" s="454"/>
      <c r="S85" s="537"/>
      <c r="T85" s="459"/>
      <c r="U85" s="460"/>
      <c r="V85" s="460"/>
      <c r="W85" s="460"/>
      <c r="X85" s="460"/>
      <c r="Y85" s="460"/>
      <c r="Z85" s="460"/>
      <c r="AA85" s="460"/>
      <c r="AB85" s="460"/>
      <c r="AC85" s="462"/>
      <c r="AD85" s="459"/>
      <c r="AE85" s="460"/>
      <c r="AF85" s="460"/>
      <c r="AG85" s="460"/>
      <c r="AH85" s="460"/>
      <c r="AI85" s="460"/>
      <c r="AJ85" s="460"/>
      <c r="AK85" s="460"/>
      <c r="AL85" s="460"/>
      <c r="AM85" s="462"/>
      <c r="AN85" s="492"/>
      <c r="AO85" s="489"/>
      <c r="AP85" s="489"/>
      <c r="AQ85" s="489"/>
      <c r="AR85" s="489"/>
      <c r="AS85" s="489"/>
      <c r="AT85" s="489"/>
      <c r="AU85" s="489"/>
      <c r="AV85" s="489"/>
      <c r="AW85" s="493"/>
      <c r="AX85" s="483"/>
      <c r="AY85" s="484"/>
      <c r="AZ85" s="484"/>
      <c r="BA85" s="484"/>
      <c r="BB85" s="484"/>
      <c r="BC85" s="484"/>
      <c r="BD85" s="484"/>
      <c r="BE85" s="484"/>
      <c r="BF85" s="484"/>
      <c r="BG85" s="485"/>
      <c r="BH85" s="56"/>
      <c r="BI85" s="531"/>
      <c r="BJ85" s="532"/>
      <c r="BK85" s="532"/>
      <c r="BL85" s="532"/>
      <c r="BM85" s="532"/>
      <c r="BN85" s="533"/>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row>
    <row r="86" spans="1:100" ht="15" customHeight="1" x14ac:dyDescent="0.35">
      <c r="A86" s="56"/>
      <c r="B86" s="307"/>
      <c r="C86" s="307"/>
      <c r="D86" s="308"/>
      <c r="E86" s="465" t="s">
        <v>104</v>
      </c>
      <c r="F86" s="466"/>
      <c r="G86" s="466"/>
      <c r="H86" s="466"/>
      <c r="I86" s="467"/>
      <c r="J86" s="455" t="str">
        <f>IF(AND('Mapa final'!$K$7="Muy Baja",'Mapa final'!$O$7="Leve"),CONCATENATE("R",'Mapa final'!$A$7),"")</f>
        <v/>
      </c>
      <c r="K86" s="456"/>
      <c r="L86" s="456" t="str">
        <f>IF(AND('Mapa final'!$K$10="Muy Baja",'Mapa final'!$O$10="Leve"),CONCATENATE("R",'Mapa final'!$A$10),"")</f>
        <v/>
      </c>
      <c r="M86" s="456"/>
      <c r="N86" s="456" t="str">
        <f>IF(AND('Mapa final'!$K$13="Muy Baja",'Mapa final'!$O$13="Leve"),CONCATENATE("R",'Mapa final'!$A$13),"")</f>
        <v/>
      </c>
      <c r="O86" s="456"/>
      <c r="P86" s="456" t="e">
        <f>IF(AND('Mapa final'!#REF!="Muy Baja",'Mapa final'!#REF!="Leve"),CONCATENATE("R",'Mapa final'!#REF!),"")</f>
        <v>#REF!</v>
      </c>
      <c r="Q86" s="456"/>
      <c r="R86" s="456" t="e">
        <f>IF(AND('Mapa final'!#REF!="Muy Baja",'Mapa final'!#REF!="Leve"),CONCATENATE("R",'Mapa final'!#REF!),"")</f>
        <v>#REF!</v>
      </c>
      <c r="S86" s="499"/>
      <c r="T86" s="455" t="str">
        <f>IF(AND('Mapa final'!$K$7="Muy Baja",'Mapa final'!$O$7="Menor"),CONCATENATE("R",'Mapa final'!$A$7),"")</f>
        <v/>
      </c>
      <c r="U86" s="456"/>
      <c r="V86" s="456" t="str">
        <f>IF(AND('Mapa final'!$K$10="Muy Baja",'Mapa final'!$O$10="Menor"),CONCATENATE("R",'Mapa final'!$A$10),"")</f>
        <v/>
      </c>
      <c r="W86" s="456"/>
      <c r="X86" s="456" t="str">
        <f>IF(AND('Mapa final'!$K$13="Muy Baja",'Mapa final'!$O$13="Menor"),CONCATENATE("R",'Mapa final'!$A$13),"")</f>
        <v/>
      </c>
      <c r="Y86" s="456"/>
      <c r="Z86" s="456" t="e">
        <f>IF(AND('Mapa final'!#REF!="Muy Baja",'Mapa final'!#REF!="Menor"),CONCATENATE("R",'Mapa final'!#REF!),"")</f>
        <v>#REF!</v>
      </c>
      <c r="AA86" s="456"/>
      <c r="AB86" s="456" t="e">
        <f>IF(AND('Mapa final'!#REF!="Muy Baja",'Mapa final'!#REF!="Menor"),CONCATENATE("R",'Mapa final'!#REF!),"")</f>
        <v>#REF!</v>
      </c>
      <c r="AC86" s="499"/>
      <c r="AD86" s="478" t="str">
        <f>IF(AND('Mapa final'!$K$7="Muy Baja",'Mapa final'!$O$7="Moderado"),CONCATENATE("R",'Mapa final'!$A$7),"")</f>
        <v/>
      </c>
      <c r="AE86" s="463"/>
      <c r="AF86" s="463" t="str">
        <f>IF(AND('Mapa final'!$K$10="Muy Baja",'Mapa final'!$O$10="Moderado"),CONCATENATE("R",'Mapa final'!$A$10),"")</f>
        <v/>
      </c>
      <c r="AG86" s="463"/>
      <c r="AH86" s="463" t="str">
        <f>IF(AND('Mapa final'!$K$13="Muy Baja",'Mapa final'!$O$13="Moderado"),CONCATENATE("R",'Mapa final'!$A$13),"")</f>
        <v/>
      </c>
      <c r="AI86" s="463"/>
      <c r="AJ86" s="463" t="e">
        <f>IF(AND('Mapa final'!#REF!="Muy Baja",'Mapa final'!#REF!="Moderado"),CONCATENATE("R",'Mapa final'!#REF!),"")</f>
        <v>#REF!</v>
      </c>
      <c r="AK86" s="463"/>
      <c r="AL86" s="463" t="e">
        <f>IF(AND('Mapa final'!#REF!="Muy Baja",'Mapa final'!#REF!="Moderado"),CONCATENATE("R",'Mapa final'!#REF!),"")</f>
        <v>#REF!</v>
      </c>
      <c r="AM86" s="479"/>
      <c r="AN86" s="494" t="str">
        <f>IF(AND('Mapa final'!$K$7="Muy Baja",'Mapa final'!$O$7="Mayor"),CONCATENATE("R",'Mapa final'!$A$7),"")</f>
        <v/>
      </c>
      <c r="AO86" s="495"/>
      <c r="AP86" s="495" t="str">
        <f>IF(AND('Mapa final'!$K$10="Muy Baja",'Mapa final'!$O$10="Mayor"),CONCATENATE("R",'Mapa final'!$A$10),"")</f>
        <v/>
      </c>
      <c r="AQ86" s="495"/>
      <c r="AR86" s="495" t="str">
        <f>IF(AND('Mapa final'!$K$13="Muy Baja",'Mapa final'!$O$13="Mayor"),CONCATENATE("R",'Mapa final'!$A$13),"")</f>
        <v/>
      </c>
      <c r="AS86" s="495"/>
      <c r="AT86" s="495" t="e">
        <f>IF(AND('Mapa final'!#REF!="Muy Baja",'Mapa final'!#REF!="Mayor"),CONCATENATE("R",'Mapa final'!#REF!),"")</f>
        <v>#REF!</v>
      </c>
      <c r="AU86" s="495"/>
      <c r="AV86" s="495" t="e">
        <f>IF(AND('Mapa final'!#REF!="Muy Baja",'Mapa final'!#REF!="Mayor"),CONCATENATE("R",'Mapa final'!#REF!),"")</f>
        <v>#REF!</v>
      </c>
      <c r="AW86" s="496"/>
      <c r="AX86" s="486" t="str">
        <f>IF(AND('Mapa final'!$K$7="Muy Baja",'Mapa final'!$O$7="Catastrófico"),CONCATENATE("R",'Mapa final'!$A$7),"")</f>
        <v/>
      </c>
      <c r="AY86" s="487"/>
      <c r="AZ86" s="487" t="str">
        <f>IF(AND('Mapa final'!$K$10="Muy Baja",'Mapa final'!$O$10="Catastrófico"),CONCATENATE("R",'Mapa final'!$A$10),"")</f>
        <v/>
      </c>
      <c r="BA86" s="487"/>
      <c r="BB86" s="487" t="str">
        <f>IF(AND('Mapa final'!$K$13="Muy Baja",'Mapa final'!$O$13="Catastrófico"),CONCATENATE("R",'Mapa final'!$A$13),"")</f>
        <v/>
      </c>
      <c r="BC86" s="487"/>
      <c r="BD86" s="487" t="e">
        <f>IF(AND('Mapa final'!#REF!="Muy Baja",'Mapa final'!#REF!="Catastrófico"),CONCATENATE("R",'Mapa final'!#REF!),"")</f>
        <v>#REF!</v>
      </c>
      <c r="BE86" s="487"/>
      <c r="BF86" s="487" t="e">
        <f>IF(AND('Mapa final'!#REF!="Muy Baja",'Mapa final'!#REF!="Catastrófico"),CONCATENATE("R",'Mapa final'!#REF!),"")</f>
        <v>#REF!</v>
      </c>
      <c r="BG86" s="488"/>
      <c r="BH86" s="56"/>
      <c r="BI86" s="531"/>
      <c r="BJ86" s="532"/>
      <c r="BK86" s="532"/>
      <c r="BL86" s="532"/>
      <c r="BM86" s="532"/>
      <c r="BN86" s="533"/>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row>
    <row r="87" spans="1:100" ht="15" customHeight="1" x14ac:dyDescent="0.35">
      <c r="A87" s="56"/>
      <c r="B87" s="307"/>
      <c r="C87" s="307"/>
      <c r="D87" s="308"/>
      <c r="E87" s="468"/>
      <c r="F87" s="469"/>
      <c r="G87" s="469"/>
      <c r="H87" s="469"/>
      <c r="I87" s="470"/>
      <c r="J87" s="451"/>
      <c r="K87" s="452"/>
      <c r="L87" s="452"/>
      <c r="M87" s="452"/>
      <c r="N87" s="452"/>
      <c r="O87" s="452"/>
      <c r="P87" s="452"/>
      <c r="Q87" s="452"/>
      <c r="R87" s="452"/>
      <c r="S87" s="500"/>
      <c r="T87" s="451"/>
      <c r="U87" s="452"/>
      <c r="V87" s="452"/>
      <c r="W87" s="452"/>
      <c r="X87" s="452"/>
      <c r="Y87" s="452"/>
      <c r="Z87" s="452"/>
      <c r="AA87" s="452"/>
      <c r="AB87" s="452"/>
      <c r="AC87" s="500"/>
      <c r="AD87" s="457"/>
      <c r="AE87" s="458"/>
      <c r="AF87" s="458"/>
      <c r="AG87" s="458"/>
      <c r="AH87" s="458"/>
      <c r="AI87" s="458"/>
      <c r="AJ87" s="458"/>
      <c r="AK87" s="458"/>
      <c r="AL87" s="458"/>
      <c r="AM87" s="461"/>
      <c r="AN87" s="491"/>
      <c r="AO87" s="450"/>
      <c r="AP87" s="450"/>
      <c r="AQ87" s="450"/>
      <c r="AR87" s="450"/>
      <c r="AS87" s="450"/>
      <c r="AT87" s="450"/>
      <c r="AU87" s="450"/>
      <c r="AV87" s="450"/>
      <c r="AW87" s="490"/>
      <c r="AX87" s="482"/>
      <c r="AY87" s="480"/>
      <c r="AZ87" s="480"/>
      <c r="BA87" s="480"/>
      <c r="BB87" s="480"/>
      <c r="BC87" s="480"/>
      <c r="BD87" s="480"/>
      <c r="BE87" s="480"/>
      <c r="BF87" s="480"/>
      <c r="BG87" s="481"/>
      <c r="BH87" s="56"/>
      <c r="BI87" s="531"/>
      <c r="BJ87" s="532"/>
      <c r="BK87" s="532"/>
      <c r="BL87" s="532"/>
      <c r="BM87" s="532"/>
      <c r="BN87" s="533"/>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row>
    <row r="88" spans="1:100" ht="15" customHeight="1" x14ac:dyDescent="0.35">
      <c r="A88" s="56"/>
      <c r="B88" s="307"/>
      <c r="C88" s="307"/>
      <c r="D88" s="308"/>
      <c r="E88" s="468"/>
      <c r="F88" s="469"/>
      <c r="G88" s="469"/>
      <c r="H88" s="469"/>
      <c r="I88" s="470"/>
      <c r="J88" s="451" t="str">
        <f>IF(AND('Mapa final'!$K$16="Muy Baja",'Mapa final'!$O$16="Leve"),CONCATENATE("R",'Mapa final'!$A$16),"")</f>
        <v/>
      </c>
      <c r="K88" s="452"/>
      <c r="L88" s="452" t="str">
        <f>IF(AND('Mapa final'!$K$19="Muy Baja",'Mapa final'!$O$19="Leve"),CONCATENATE("R",'Mapa final'!$A$19),"")</f>
        <v/>
      </c>
      <c r="M88" s="452"/>
      <c r="N88" s="452" t="str">
        <f>IF(AND('Mapa final'!$K$22="Muy Baja",'Mapa final'!$O$22="Leve"),CONCATENATE("R",'Mapa final'!$A$22),"")</f>
        <v/>
      </c>
      <c r="O88" s="452"/>
      <c r="P88" s="452" t="str">
        <f>IF(AND('Mapa final'!$K$25="Muy Baja",'Mapa final'!$O$25="Leve"),CONCATENATE("R",'Mapa final'!$A$25),"")</f>
        <v/>
      </c>
      <c r="Q88" s="452"/>
      <c r="R88" s="452" t="str">
        <f>IF(AND('Mapa final'!$K$28="Muy Baja",'Mapa final'!$O$28="Leve"),CONCATENATE("R",'Mapa final'!$A$28),"")</f>
        <v/>
      </c>
      <c r="S88" s="500"/>
      <c r="T88" s="451" t="str">
        <f>IF(AND('Mapa final'!$K$16="Muy Baja",'Mapa final'!$O$16="Menor"),CONCATENATE("R",'Mapa final'!$A$16),"")</f>
        <v/>
      </c>
      <c r="U88" s="452"/>
      <c r="V88" s="452" t="str">
        <f>IF(AND('Mapa final'!$K$19="Muy Baja",'Mapa final'!$O$19="Menor"),CONCATENATE("R",'Mapa final'!$A$19),"")</f>
        <v/>
      </c>
      <c r="W88" s="452"/>
      <c r="X88" s="452" t="str">
        <f>IF(AND('Mapa final'!$K$22="Muy Baja",'Mapa final'!$O$22="Menor"),CONCATENATE("R",'Mapa final'!$A$22),"")</f>
        <v/>
      </c>
      <c r="Y88" s="452"/>
      <c r="Z88" s="452" t="str">
        <f>IF(AND('Mapa final'!$K$25="Muy Baja",'Mapa final'!$O$25="Menor"),CONCATENATE("R",'Mapa final'!$A$25),"")</f>
        <v/>
      </c>
      <c r="AA88" s="452"/>
      <c r="AB88" s="452" t="str">
        <f>IF(AND('Mapa final'!$K$28="Muy Baja",'Mapa final'!$O$28="Menor"),CONCATENATE("R",'Mapa final'!$A$28),"")</f>
        <v/>
      </c>
      <c r="AC88" s="500"/>
      <c r="AD88" s="457" t="str">
        <f>IF(AND('Mapa final'!$K$16="Muy Baja",'Mapa final'!$O$16="Moderado"),CONCATENATE("R",'Mapa final'!$A$16),"")</f>
        <v>R5</v>
      </c>
      <c r="AE88" s="458"/>
      <c r="AF88" s="458" t="str">
        <f>IF(AND('Mapa final'!$K$19="Muy Baja",'Mapa final'!$O$19="Moderado"),CONCATENATE("R",'Mapa final'!$A$19),"")</f>
        <v>R6</v>
      </c>
      <c r="AG88" s="458"/>
      <c r="AH88" s="458" t="str">
        <f>IF(AND('Mapa final'!$K$22="Muy Baja",'Mapa final'!$O$22="Moderado"),CONCATENATE("R",'Mapa final'!$A$22),"")</f>
        <v/>
      </c>
      <c r="AI88" s="458"/>
      <c r="AJ88" s="458" t="str">
        <f>IF(AND('Mapa final'!$K$25="Muy Baja",'Mapa final'!$O$25="Moderado"),CONCATENATE("R",'Mapa final'!$A$25),"")</f>
        <v/>
      </c>
      <c r="AK88" s="458"/>
      <c r="AL88" s="458" t="str">
        <f>IF(AND('Mapa final'!$K$28="Muy Baja",'Mapa final'!$O$28="Moderado"),CONCATENATE("R",'Mapa final'!$A$28),"")</f>
        <v/>
      </c>
      <c r="AM88" s="461"/>
      <c r="AN88" s="491" t="str">
        <f>IF(AND('Mapa final'!$K$16="Muy Baja",'Mapa final'!$O$16="Mayor"),CONCATENATE("R",'Mapa final'!$A$16),"")</f>
        <v/>
      </c>
      <c r="AO88" s="450"/>
      <c r="AP88" s="450" t="str">
        <f>IF(AND('Mapa final'!$K$19="Muy Baja",'Mapa final'!$O$19="Mayor"),CONCATENATE("R",'Mapa final'!$A$19),"")</f>
        <v/>
      </c>
      <c r="AQ88" s="450"/>
      <c r="AR88" s="450" t="str">
        <f>IF(AND('Mapa final'!$K$22="Muy Baja",'Mapa final'!$O$22="Mayor"),CONCATENATE("R",'Mapa final'!$A$22),"")</f>
        <v/>
      </c>
      <c r="AS88" s="450"/>
      <c r="AT88" s="450" t="str">
        <f>IF(AND('Mapa final'!$K$25="Muy Baja",'Mapa final'!$O$25="Mayor"),CONCATENATE("R",'Mapa final'!$A$25),"")</f>
        <v/>
      </c>
      <c r="AU88" s="450"/>
      <c r="AV88" s="450" t="str">
        <f>IF(AND('Mapa final'!$K$28="Muy Baja",'Mapa final'!$O$28="Mayor"),CONCATENATE("R",'Mapa final'!$A$28),"")</f>
        <v/>
      </c>
      <c r="AW88" s="490"/>
      <c r="AX88" s="482" t="str">
        <f>IF(AND('Mapa final'!$K$16="Muy Baja",'Mapa final'!$O$16="Catastrófico"),CONCATENATE("R",'Mapa final'!$A$16),"")</f>
        <v/>
      </c>
      <c r="AY88" s="480"/>
      <c r="AZ88" s="480" t="str">
        <f>IF(AND('Mapa final'!$K$19="Muy Baja",'Mapa final'!$O$19="Catastrófico"),CONCATENATE("R",'Mapa final'!$A$19),"")</f>
        <v/>
      </c>
      <c r="BA88" s="480"/>
      <c r="BB88" s="480" t="str">
        <f>IF(AND('Mapa final'!$K$22="Muy Baja",'Mapa final'!$O$22="Catastrófico"),CONCATENATE("R",'Mapa final'!$A$22),"")</f>
        <v/>
      </c>
      <c r="BC88" s="480"/>
      <c r="BD88" s="480" t="str">
        <f>IF(AND('Mapa final'!$K$25="Muy Baja",'Mapa final'!$O$25="Catastrófico"),CONCATENATE("R",'Mapa final'!$A$25),"")</f>
        <v/>
      </c>
      <c r="BE88" s="480"/>
      <c r="BF88" s="480" t="str">
        <f>IF(AND('Mapa final'!$K$28="Muy Baja",'Mapa final'!$O$28="Catastrófico"),CONCATENATE("R",'Mapa final'!$A$28),"")</f>
        <v/>
      </c>
      <c r="BG88" s="481"/>
      <c r="BH88" s="56"/>
      <c r="BI88" s="531"/>
      <c r="BJ88" s="532"/>
      <c r="BK88" s="532"/>
      <c r="BL88" s="532"/>
      <c r="BM88" s="532"/>
      <c r="BN88" s="533"/>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row>
    <row r="89" spans="1:100" ht="15" customHeight="1" x14ac:dyDescent="0.35">
      <c r="A89" s="56"/>
      <c r="B89" s="307"/>
      <c r="C89" s="307"/>
      <c r="D89" s="308"/>
      <c r="E89" s="468"/>
      <c r="F89" s="469"/>
      <c r="G89" s="469"/>
      <c r="H89" s="469"/>
      <c r="I89" s="470"/>
      <c r="J89" s="451"/>
      <c r="K89" s="452"/>
      <c r="L89" s="452"/>
      <c r="M89" s="452"/>
      <c r="N89" s="452"/>
      <c r="O89" s="452"/>
      <c r="P89" s="452"/>
      <c r="Q89" s="452"/>
      <c r="R89" s="452"/>
      <c r="S89" s="500"/>
      <c r="T89" s="451"/>
      <c r="U89" s="452"/>
      <c r="V89" s="452"/>
      <c r="W89" s="452"/>
      <c r="X89" s="452"/>
      <c r="Y89" s="452"/>
      <c r="Z89" s="452"/>
      <c r="AA89" s="452"/>
      <c r="AB89" s="452"/>
      <c r="AC89" s="500"/>
      <c r="AD89" s="457"/>
      <c r="AE89" s="458"/>
      <c r="AF89" s="458"/>
      <c r="AG89" s="458"/>
      <c r="AH89" s="458"/>
      <c r="AI89" s="458"/>
      <c r="AJ89" s="458"/>
      <c r="AK89" s="458"/>
      <c r="AL89" s="458"/>
      <c r="AM89" s="461"/>
      <c r="AN89" s="491"/>
      <c r="AO89" s="450"/>
      <c r="AP89" s="450"/>
      <c r="AQ89" s="450"/>
      <c r="AR89" s="450"/>
      <c r="AS89" s="450"/>
      <c r="AT89" s="450"/>
      <c r="AU89" s="450"/>
      <c r="AV89" s="450"/>
      <c r="AW89" s="490"/>
      <c r="AX89" s="482"/>
      <c r="AY89" s="480"/>
      <c r="AZ89" s="480"/>
      <c r="BA89" s="480"/>
      <c r="BB89" s="480"/>
      <c r="BC89" s="480"/>
      <c r="BD89" s="480"/>
      <c r="BE89" s="480"/>
      <c r="BF89" s="480"/>
      <c r="BG89" s="481"/>
      <c r="BH89" s="56"/>
      <c r="BI89" s="531"/>
      <c r="BJ89" s="532"/>
      <c r="BK89" s="532"/>
      <c r="BL89" s="532"/>
      <c r="BM89" s="532"/>
      <c r="BN89" s="533"/>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row>
    <row r="90" spans="1:100" ht="15" customHeight="1" x14ac:dyDescent="0.35">
      <c r="A90" s="56"/>
      <c r="B90" s="307"/>
      <c r="C90" s="307"/>
      <c r="D90" s="308"/>
      <c r="E90" s="468"/>
      <c r="F90" s="469"/>
      <c r="G90" s="469"/>
      <c r="H90" s="469"/>
      <c r="I90" s="470"/>
      <c r="J90" s="451" t="str">
        <f>IF(AND('Mapa final'!$K$31="Muy Baja",'Mapa final'!$O$31="Leve"),CONCATENATE("R",'Mapa final'!$A$31),"")</f>
        <v/>
      </c>
      <c r="K90" s="452"/>
      <c r="L90" s="452" t="str">
        <f>IF(AND('Mapa final'!$K$34="Muy Baja",'Mapa final'!$O$34="Leve"),CONCATENATE("R",'Mapa final'!$A$34),"")</f>
        <v/>
      </c>
      <c r="M90" s="452"/>
      <c r="N90" s="452" t="str">
        <f>IF(AND('Mapa final'!$K$37="Muy Baja",'Mapa final'!$O$37="Leve"),CONCATENATE("R",'Mapa final'!$A$37),"")</f>
        <v/>
      </c>
      <c r="O90" s="452"/>
      <c r="P90" s="452" t="str">
        <f>IF(AND('Mapa final'!$K$40="Muy Baja",'Mapa final'!$O$40="Leve"),CONCATENATE("R",'Mapa final'!$A$40),"")</f>
        <v/>
      </c>
      <c r="Q90" s="452"/>
      <c r="R90" s="452" t="str">
        <f>IF(AND('Mapa final'!$K$43="Muy Baja",'Mapa final'!$O$43="Leve"),CONCATENATE("R",'Mapa final'!$A$43),"")</f>
        <v/>
      </c>
      <c r="S90" s="500"/>
      <c r="T90" s="451" t="str">
        <f>IF(AND('Mapa final'!$K$31="Muy Baja",'Mapa final'!$O$31="Menor"),CONCATENATE("R",'Mapa final'!$A$31),"")</f>
        <v/>
      </c>
      <c r="U90" s="452"/>
      <c r="V90" s="452" t="str">
        <f>IF(AND('Mapa final'!$K$34="Muy Baja",'Mapa final'!$O$34="Menor"),CONCATENATE("R",'Mapa final'!$A$34),"")</f>
        <v/>
      </c>
      <c r="W90" s="452"/>
      <c r="X90" s="452" t="str">
        <f>IF(AND('Mapa final'!$K$37="Muy Baja",'Mapa final'!$O$37="Menor"),CONCATENATE("R",'Mapa final'!$A$37),"")</f>
        <v/>
      </c>
      <c r="Y90" s="452"/>
      <c r="Z90" s="452" t="str">
        <f>IF(AND('Mapa final'!$K$40="Muy Baja",'Mapa final'!$O$40="Menor"),CONCATENATE("R",'Mapa final'!$A$40),"")</f>
        <v/>
      </c>
      <c r="AA90" s="452"/>
      <c r="AB90" s="452" t="str">
        <f>IF(AND('Mapa final'!$K$43="Muy Baja",'Mapa final'!$O$43="Menor"),CONCATENATE("R",'Mapa final'!$A$43),"")</f>
        <v/>
      </c>
      <c r="AC90" s="500"/>
      <c r="AD90" s="457" t="str">
        <f>IF(AND('Mapa final'!$K$31="Muy Baja",'Mapa final'!$O$31="Moderado"),CONCATENATE("R",'Mapa final'!$A$31),"")</f>
        <v/>
      </c>
      <c r="AE90" s="458"/>
      <c r="AF90" s="458" t="str">
        <f>IF(AND('Mapa final'!$K$34="Muy Baja",'Mapa final'!$O$34="Moderado"),CONCATENATE("R",'Mapa final'!$A$34),"")</f>
        <v/>
      </c>
      <c r="AG90" s="458"/>
      <c r="AH90" s="458" t="str">
        <f>IF(AND('Mapa final'!$K$37="Muy Baja",'Mapa final'!$O$37="Moderado"),CONCATENATE("R",'Mapa final'!$A$37),"")</f>
        <v>R12</v>
      </c>
      <c r="AI90" s="458"/>
      <c r="AJ90" s="458" t="str">
        <f>IF(AND('Mapa final'!$K$40="Muy Baja",'Mapa final'!$O$40="Moderado"),CONCATENATE("R",'Mapa final'!$A$40),"")</f>
        <v/>
      </c>
      <c r="AK90" s="458"/>
      <c r="AL90" s="458" t="str">
        <f>IF(AND('Mapa final'!$K$43="Muy Baja",'Mapa final'!$O$43="Moderado"),CONCATENATE("R",'Mapa final'!$A$43),"")</f>
        <v/>
      </c>
      <c r="AM90" s="461"/>
      <c r="AN90" s="491" t="str">
        <f>IF(AND('Mapa final'!$K$31="Muy Baja",'Mapa final'!$O$31="Mayor"),CONCATENATE("R",'Mapa final'!$A$31),"")</f>
        <v/>
      </c>
      <c r="AO90" s="450"/>
      <c r="AP90" s="450" t="str">
        <f>IF(AND('Mapa final'!$K$34="Muy Baja",'Mapa final'!$O$34="Mayor"),CONCATENATE("R",'Mapa final'!$A$34),"")</f>
        <v/>
      </c>
      <c r="AQ90" s="450"/>
      <c r="AR90" s="450" t="str">
        <f>IF(AND('Mapa final'!$K$37="Muy Baja",'Mapa final'!$O$37="Mayor"),CONCATENATE("R",'Mapa final'!$A$37),"")</f>
        <v/>
      </c>
      <c r="AS90" s="450"/>
      <c r="AT90" s="450" t="str">
        <f>IF(AND('Mapa final'!$K$40="Muy Baja",'Mapa final'!$O$40="Mayor"),CONCATENATE("R",'Mapa final'!$A$40),"")</f>
        <v/>
      </c>
      <c r="AU90" s="450"/>
      <c r="AV90" s="450" t="str">
        <f>IF(AND('Mapa final'!$K$43="Muy Baja",'Mapa final'!$O$43="Mayor"),CONCATENATE("R",'Mapa final'!$A$43),"")</f>
        <v/>
      </c>
      <c r="AW90" s="490"/>
      <c r="AX90" s="482" t="str">
        <f>IF(AND('Mapa final'!$K$31="Muy Baja",'Mapa final'!$O$31="Catastrófico"),CONCATENATE("R",'Mapa final'!$A$31),"")</f>
        <v/>
      </c>
      <c r="AY90" s="480"/>
      <c r="AZ90" s="480" t="str">
        <f>IF(AND('Mapa final'!$K$34="Muy Baja",'Mapa final'!$O$34="Catastrófico"),CONCATENATE("R",'Mapa final'!$A$34),"")</f>
        <v/>
      </c>
      <c r="BA90" s="480"/>
      <c r="BB90" s="480" t="str">
        <f>IF(AND('Mapa final'!$K$37="Muy Baja",'Mapa final'!$O$37="Catastrófico"),CONCATENATE("R",'Mapa final'!$A$37),"")</f>
        <v/>
      </c>
      <c r="BC90" s="480"/>
      <c r="BD90" s="480" t="str">
        <f>IF(AND('Mapa final'!$K$40="Muy Baja",'Mapa final'!$O$40="Catastrófico"),CONCATENATE("R",'Mapa final'!$A$40),"")</f>
        <v/>
      </c>
      <c r="BE90" s="480"/>
      <c r="BF90" s="480" t="str">
        <f>IF(AND('Mapa final'!$K$43="Muy Baja",'Mapa final'!$O$43="Catastrófico"),CONCATENATE("R",'Mapa final'!$A$43),"")</f>
        <v/>
      </c>
      <c r="BG90" s="481"/>
      <c r="BH90" s="56"/>
      <c r="BI90" s="531"/>
      <c r="BJ90" s="532"/>
      <c r="BK90" s="532"/>
      <c r="BL90" s="532"/>
      <c r="BM90" s="532"/>
      <c r="BN90" s="533"/>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row>
    <row r="91" spans="1:100" ht="15" customHeight="1" x14ac:dyDescent="0.35">
      <c r="A91" s="56"/>
      <c r="B91" s="307"/>
      <c r="C91" s="307"/>
      <c r="D91" s="308"/>
      <c r="E91" s="468"/>
      <c r="F91" s="469"/>
      <c r="G91" s="469"/>
      <c r="H91" s="469"/>
      <c r="I91" s="470"/>
      <c r="J91" s="451"/>
      <c r="K91" s="452"/>
      <c r="L91" s="452"/>
      <c r="M91" s="452"/>
      <c r="N91" s="452"/>
      <c r="O91" s="452"/>
      <c r="P91" s="452"/>
      <c r="Q91" s="452"/>
      <c r="R91" s="452"/>
      <c r="S91" s="500"/>
      <c r="T91" s="451"/>
      <c r="U91" s="452"/>
      <c r="V91" s="452"/>
      <c r="W91" s="452"/>
      <c r="X91" s="452"/>
      <c r="Y91" s="452"/>
      <c r="Z91" s="452"/>
      <c r="AA91" s="452"/>
      <c r="AB91" s="452"/>
      <c r="AC91" s="500"/>
      <c r="AD91" s="457"/>
      <c r="AE91" s="458"/>
      <c r="AF91" s="458"/>
      <c r="AG91" s="458"/>
      <c r="AH91" s="458"/>
      <c r="AI91" s="458"/>
      <c r="AJ91" s="458"/>
      <c r="AK91" s="458"/>
      <c r="AL91" s="458"/>
      <c r="AM91" s="461"/>
      <c r="AN91" s="491"/>
      <c r="AO91" s="450"/>
      <c r="AP91" s="450"/>
      <c r="AQ91" s="450"/>
      <c r="AR91" s="450"/>
      <c r="AS91" s="450"/>
      <c r="AT91" s="450"/>
      <c r="AU91" s="450"/>
      <c r="AV91" s="450"/>
      <c r="AW91" s="490"/>
      <c r="AX91" s="482"/>
      <c r="AY91" s="480"/>
      <c r="AZ91" s="480"/>
      <c r="BA91" s="480"/>
      <c r="BB91" s="480"/>
      <c r="BC91" s="480"/>
      <c r="BD91" s="480"/>
      <c r="BE91" s="480"/>
      <c r="BF91" s="480"/>
      <c r="BG91" s="481"/>
      <c r="BH91" s="56"/>
      <c r="BI91" s="531"/>
      <c r="BJ91" s="532"/>
      <c r="BK91" s="532"/>
      <c r="BL91" s="532"/>
      <c r="BM91" s="532"/>
      <c r="BN91" s="533"/>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row>
    <row r="92" spans="1:100" ht="15" customHeight="1" x14ac:dyDescent="0.35">
      <c r="A92" s="56"/>
      <c r="B92" s="307"/>
      <c r="C92" s="307"/>
      <c r="D92" s="308"/>
      <c r="E92" s="468"/>
      <c r="F92" s="469"/>
      <c r="G92" s="469"/>
      <c r="H92" s="469"/>
      <c r="I92" s="470"/>
      <c r="J92" s="451" t="str">
        <f>IF(AND('Mapa final'!$K$46="Muy Baja",'Mapa final'!$O$46="Leve"),CONCATENATE("R",'Mapa final'!$A$46),"")</f>
        <v/>
      </c>
      <c r="K92" s="452"/>
      <c r="L92" s="452" t="str">
        <f>IF(AND('Mapa final'!$K$49="Muy Baja",'Mapa final'!$O$49="Leve"),CONCATENATE("R",'Mapa final'!$A$49),"")</f>
        <v/>
      </c>
      <c r="M92" s="452"/>
      <c r="N92" s="452" t="str">
        <f>IF(AND('Mapa final'!$K$52="Muy Baja",'Mapa final'!$O$52="Leve"),CONCATENATE("R",'Mapa final'!$A$52),"")</f>
        <v/>
      </c>
      <c r="O92" s="452"/>
      <c r="P92" s="452" t="str">
        <f>IF(AND('Mapa final'!$K$55="Muy Baja",'Mapa final'!$O$55="Leve"),CONCATENATE("R",'Mapa final'!$A$55),"")</f>
        <v/>
      </c>
      <c r="Q92" s="452"/>
      <c r="R92" s="452" t="str">
        <f>IF(AND('Mapa final'!$K$58="Muy Baja",'Mapa final'!$O$58="Leve"),CONCATENATE("R",'Mapa final'!$A$58),"")</f>
        <v/>
      </c>
      <c r="S92" s="500"/>
      <c r="T92" s="451" t="str">
        <f>IF(AND('Mapa final'!$K$46="Muy Baja",'Mapa final'!$O$46="Menor"),CONCATENATE("R",'Mapa final'!$A$46),"")</f>
        <v/>
      </c>
      <c r="U92" s="452"/>
      <c r="V92" s="452" t="str">
        <f>IF(AND('Mapa final'!$K$49="Muy Baja",'Mapa final'!$O$49="Menor"),CONCATENATE("R",'Mapa final'!$A$49),"")</f>
        <v/>
      </c>
      <c r="W92" s="452"/>
      <c r="X92" s="452" t="str">
        <f>IF(AND('Mapa final'!$K$52="Muy Baja",'Mapa final'!$O$52="Menor"),CONCATENATE("R",'Mapa final'!$A$52),"")</f>
        <v/>
      </c>
      <c r="Y92" s="452"/>
      <c r="Z92" s="452" t="str">
        <f>IF(AND('Mapa final'!$K$55="Muy Baja",'Mapa final'!$O$55="Menor"),CONCATENATE("R",'Mapa final'!$A$55),"")</f>
        <v/>
      </c>
      <c r="AA92" s="452"/>
      <c r="AB92" s="452" t="str">
        <f>IF(AND('Mapa final'!$K$58="Muy Baja",'Mapa final'!$O$58="Menor"),CONCATENATE("R",'Mapa final'!$A$58),"")</f>
        <v/>
      </c>
      <c r="AC92" s="500"/>
      <c r="AD92" s="457" t="str">
        <f>IF(AND('Mapa final'!$K$46="Muy Baja",'Mapa final'!$O$46="Moderado"),CONCATENATE("R",'Mapa final'!$A$46),"")</f>
        <v/>
      </c>
      <c r="AE92" s="458"/>
      <c r="AF92" s="458" t="str">
        <f>IF(AND('Mapa final'!$K$49="Muy Baja",'Mapa final'!$O$49="Moderado"),CONCATENATE("R",'Mapa final'!$A$49),"")</f>
        <v/>
      </c>
      <c r="AG92" s="458"/>
      <c r="AH92" s="458" t="str">
        <f>IF(AND('Mapa final'!$K$52="Muy Baja",'Mapa final'!$O$52="Moderado"),CONCATENATE("R",'Mapa final'!$A$52),"")</f>
        <v/>
      </c>
      <c r="AI92" s="458"/>
      <c r="AJ92" s="458" t="str">
        <f>IF(AND('Mapa final'!$K$55="Muy Baja",'Mapa final'!$O$55="Moderado"),CONCATENATE("R",'Mapa final'!$A$55),"")</f>
        <v/>
      </c>
      <c r="AK92" s="458"/>
      <c r="AL92" s="458" t="str">
        <f>IF(AND('Mapa final'!$K$58="Muy Baja",'Mapa final'!$O$58="Moderado"),CONCATENATE("R",'Mapa final'!$A$58),"")</f>
        <v/>
      </c>
      <c r="AM92" s="461"/>
      <c r="AN92" s="491" t="str">
        <f>IF(AND('Mapa final'!$K$46="Muy Baja",'Mapa final'!$O$46="Mayor"),CONCATENATE("R",'Mapa final'!$A$46),"")</f>
        <v/>
      </c>
      <c r="AO92" s="450"/>
      <c r="AP92" s="450" t="str">
        <f>IF(AND('Mapa final'!$K$49="Muy Baja",'Mapa final'!$O$49="Mayor"),CONCATENATE("R",'Mapa final'!$A$49),"")</f>
        <v/>
      </c>
      <c r="AQ92" s="450"/>
      <c r="AR92" s="450" t="str">
        <f>IF(AND('Mapa final'!$K$52="Muy Baja",'Mapa final'!$O$52="Mayor"),CONCATENATE("R",'Mapa final'!$A$52),"")</f>
        <v/>
      </c>
      <c r="AS92" s="450"/>
      <c r="AT92" s="450" t="str">
        <f>IF(AND('Mapa final'!$K$55="Muy Baja",'Mapa final'!$O$55="Mayor"),CONCATENATE("R",'Mapa final'!$A$55),"")</f>
        <v/>
      </c>
      <c r="AU92" s="450"/>
      <c r="AV92" s="450" t="str">
        <f>IF(AND('Mapa final'!$K$58="Muy Baja",'Mapa final'!$O$58="Mayor"),CONCATENATE("R",'Mapa final'!$A$58),"")</f>
        <v/>
      </c>
      <c r="AW92" s="490"/>
      <c r="AX92" s="482" t="str">
        <f>IF(AND('Mapa final'!$K$46="Muy Baja",'Mapa final'!$O$46="Catastrófico"),CONCATENATE("R",'Mapa final'!$A$46),"")</f>
        <v/>
      </c>
      <c r="AY92" s="480"/>
      <c r="AZ92" s="480" t="str">
        <f>IF(AND('Mapa final'!$K$49="Muy Baja",'Mapa final'!$O$49="Catastrófico"),CONCATENATE("R",'Mapa final'!$A$49),"")</f>
        <v/>
      </c>
      <c r="BA92" s="480"/>
      <c r="BB92" s="480" t="str">
        <f>IF(AND('Mapa final'!$K$52="Muy Baja",'Mapa final'!$O$52="Catastrófico"),CONCATENATE("R",'Mapa final'!$A$52),"")</f>
        <v/>
      </c>
      <c r="BC92" s="480"/>
      <c r="BD92" s="480" t="str">
        <f>IF(AND('Mapa final'!$K$55="Muy Baja",'Mapa final'!$O$55="Catastrófico"),CONCATENATE("R",'Mapa final'!$A$55),"")</f>
        <v/>
      </c>
      <c r="BE92" s="480"/>
      <c r="BF92" s="480" t="str">
        <f>IF(AND('Mapa final'!$K$58="Muy Baja",'Mapa final'!$O$58="Catastrófico"),CONCATENATE("R",'Mapa final'!$A$58),"")</f>
        <v/>
      </c>
      <c r="BG92" s="481"/>
      <c r="BH92" s="56"/>
      <c r="BI92" s="531"/>
      <c r="BJ92" s="532"/>
      <c r="BK92" s="532"/>
      <c r="BL92" s="532"/>
      <c r="BM92" s="532"/>
      <c r="BN92" s="533"/>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row>
    <row r="93" spans="1:100" ht="15" customHeight="1" x14ac:dyDescent="0.35">
      <c r="A93" s="56"/>
      <c r="B93" s="307"/>
      <c r="C93" s="307"/>
      <c r="D93" s="308"/>
      <c r="E93" s="468"/>
      <c r="F93" s="469"/>
      <c r="G93" s="469"/>
      <c r="H93" s="469"/>
      <c r="I93" s="470"/>
      <c r="J93" s="451"/>
      <c r="K93" s="452"/>
      <c r="L93" s="452"/>
      <c r="M93" s="452"/>
      <c r="N93" s="452"/>
      <c r="O93" s="452"/>
      <c r="P93" s="452"/>
      <c r="Q93" s="452"/>
      <c r="R93" s="452"/>
      <c r="S93" s="500"/>
      <c r="T93" s="451"/>
      <c r="U93" s="452"/>
      <c r="V93" s="452"/>
      <c r="W93" s="452"/>
      <c r="X93" s="452"/>
      <c r="Y93" s="452"/>
      <c r="Z93" s="452"/>
      <c r="AA93" s="452"/>
      <c r="AB93" s="452"/>
      <c r="AC93" s="500"/>
      <c r="AD93" s="457"/>
      <c r="AE93" s="458"/>
      <c r="AF93" s="458"/>
      <c r="AG93" s="458"/>
      <c r="AH93" s="458"/>
      <c r="AI93" s="458"/>
      <c r="AJ93" s="458"/>
      <c r="AK93" s="458"/>
      <c r="AL93" s="458"/>
      <c r="AM93" s="461"/>
      <c r="AN93" s="491"/>
      <c r="AO93" s="450"/>
      <c r="AP93" s="450"/>
      <c r="AQ93" s="450"/>
      <c r="AR93" s="450"/>
      <c r="AS93" s="450"/>
      <c r="AT93" s="450"/>
      <c r="AU93" s="450"/>
      <c r="AV93" s="450"/>
      <c r="AW93" s="490"/>
      <c r="AX93" s="482"/>
      <c r="AY93" s="480"/>
      <c r="AZ93" s="480"/>
      <c r="BA93" s="480"/>
      <c r="BB93" s="480"/>
      <c r="BC93" s="480"/>
      <c r="BD93" s="480"/>
      <c r="BE93" s="480"/>
      <c r="BF93" s="480"/>
      <c r="BG93" s="481"/>
      <c r="BH93" s="56"/>
      <c r="BI93" s="531"/>
      <c r="BJ93" s="532"/>
      <c r="BK93" s="532"/>
      <c r="BL93" s="532"/>
      <c r="BM93" s="532"/>
      <c r="BN93" s="533"/>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row>
    <row r="94" spans="1:100" ht="15" customHeight="1" x14ac:dyDescent="0.35">
      <c r="A94" s="56"/>
      <c r="B94" s="307"/>
      <c r="C94" s="307"/>
      <c r="D94" s="308"/>
      <c r="E94" s="468"/>
      <c r="F94" s="469"/>
      <c r="G94" s="469"/>
      <c r="H94" s="469"/>
      <c r="I94" s="470"/>
      <c r="J94" s="451" t="str">
        <f>IF(AND('Mapa final'!$K$61="Muy Baja",'Mapa final'!$O$61="Leve"),CONCATENATE("R",'Mapa final'!$A$61),"")</f>
        <v/>
      </c>
      <c r="K94" s="452"/>
      <c r="L94" s="452" t="str">
        <f>IF(AND('Mapa final'!$K$64="Muy Baja",'Mapa final'!$O$64="Leve"),CONCATENATE("R",'Mapa final'!$A$64),"")</f>
        <v/>
      </c>
      <c r="M94" s="452"/>
      <c r="N94" s="452" t="str">
        <f>IF(AND('Mapa final'!$K$70="Muy Baja",'Mapa final'!$O$70="Leve"),CONCATENATE("R",'Mapa final'!$A$70),"")</f>
        <v/>
      </c>
      <c r="O94" s="452"/>
      <c r="P94" s="452" t="str">
        <f>IF(AND('Mapa final'!$K$73="Muy Baja",'Mapa final'!$O$73="Leve"),CONCATENATE("R",'Mapa final'!$A$73),"")</f>
        <v/>
      </c>
      <c r="Q94" s="452"/>
      <c r="R94" s="452" t="str">
        <f>IF(AND('Mapa final'!$K$76="Muy Baja",'Mapa final'!$O$76="Leve"),CONCATENATE("R",'Mapa final'!$A$76),"")</f>
        <v/>
      </c>
      <c r="S94" s="500"/>
      <c r="T94" s="451" t="str">
        <f>IF(AND('Mapa final'!$K$61="Muy Baja",'Mapa final'!$O$61="Menor"),CONCATENATE("R",'Mapa final'!$A$61),"")</f>
        <v/>
      </c>
      <c r="U94" s="452"/>
      <c r="V94" s="452" t="str">
        <f>IF(AND('Mapa final'!$K$64="Muy Baja",'Mapa final'!$O$64="Menor"),CONCATENATE("R",'Mapa final'!$A$64),"")</f>
        <v/>
      </c>
      <c r="W94" s="452"/>
      <c r="X94" s="452" t="str">
        <f>IF(AND('Mapa final'!$K$70="Muy Baja",'Mapa final'!$O$70="Menor"),CONCATENATE("R",'Mapa final'!$A$70),"")</f>
        <v/>
      </c>
      <c r="Y94" s="452"/>
      <c r="Z94" s="452" t="str">
        <f>IF(AND('Mapa final'!$K$73="Muy Baja",'Mapa final'!$O$73="Menor"),CONCATENATE("R",'Mapa final'!$A$73),"")</f>
        <v/>
      </c>
      <c r="AA94" s="452"/>
      <c r="AB94" s="452" t="str">
        <f>IF(AND('Mapa final'!$K$76="Muy Baja",'Mapa final'!$O$76="Menor"),CONCATENATE("R",'Mapa final'!$A$76),"")</f>
        <v/>
      </c>
      <c r="AC94" s="500"/>
      <c r="AD94" s="457" t="str">
        <f>IF(AND('Mapa final'!$K$61="Muy Baja",'Mapa final'!$O$61="Moderado"),CONCATENATE("R",'Mapa final'!$A$61),"")</f>
        <v/>
      </c>
      <c r="AE94" s="458"/>
      <c r="AF94" s="458" t="str">
        <f>IF(AND('Mapa final'!$K$64="Muy Baja",'Mapa final'!$O$64="Moderado"),CONCATENATE("R",'Mapa final'!$A$64),"")</f>
        <v/>
      </c>
      <c r="AG94" s="458"/>
      <c r="AH94" s="458" t="str">
        <f>IF(AND('Mapa final'!$K$70="Muy Baja",'Mapa final'!$O$70="Moderado"),CONCATENATE("R",'Mapa final'!$A$70),"")</f>
        <v/>
      </c>
      <c r="AI94" s="458"/>
      <c r="AJ94" s="458" t="str">
        <f>IF(AND('Mapa final'!$K$73="Muy Baja",'Mapa final'!$O$73="Moderado"),CONCATENATE("R",'Mapa final'!$A$73),"")</f>
        <v/>
      </c>
      <c r="AK94" s="458"/>
      <c r="AL94" s="458" t="str">
        <f>IF(AND('Mapa final'!$K$76="Muy Baja",'Mapa final'!$O$76="Moderado"),CONCATENATE("R",'Mapa final'!$A$76),"")</f>
        <v/>
      </c>
      <c r="AM94" s="461"/>
      <c r="AN94" s="491" t="str">
        <f>IF(AND('Mapa final'!$K$61="Muy Baja",'Mapa final'!$O$61="Mayor"),CONCATENATE("R",'Mapa final'!$A$61),"")</f>
        <v/>
      </c>
      <c r="AO94" s="450"/>
      <c r="AP94" s="450" t="str">
        <f>IF(AND('Mapa final'!$K$64="Muy Baja",'Mapa final'!$O$64="Mayor"),CONCATENATE("R",'Mapa final'!$A$64),"")</f>
        <v/>
      </c>
      <c r="AQ94" s="450"/>
      <c r="AR94" s="450" t="str">
        <f>IF(AND('Mapa final'!$K$70="Muy Baja",'Mapa final'!$O$70="Mayor"),CONCATENATE("R",'Mapa final'!$A$70),"")</f>
        <v/>
      </c>
      <c r="AS94" s="450"/>
      <c r="AT94" s="450" t="str">
        <f>IF(AND('Mapa final'!$K$73="Muy Baja",'Mapa final'!$O$73="Mayor"),CONCATENATE("R",'Mapa final'!$A$73),"")</f>
        <v/>
      </c>
      <c r="AU94" s="450"/>
      <c r="AV94" s="450" t="str">
        <f>IF(AND('Mapa final'!$K$76="Muy Baja",'Mapa final'!$O$76="Mayor"),CONCATENATE("R",'Mapa final'!$A$76),"")</f>
        <v/>
      </c>
      <c r="AW94" s="490"/>
      <c r="AX94" s="482" t="str">
        <f>IF(AND('Mapa final'!$K$61="Muy Baja",'Mapa final'!$O$61="Catastrófico"),CONCATENATE("R",'Mapa final'!$A$61),"")</f>
        <v/>
      </c>
      <c r="AY94" s="480"/>
      <c r="AZ94" s="480" t="str">
        <f>IF(AND('Mapa final'!$K$64="Muy Baja",'Mapa final'!$O$64="Catastrófico"),CONCATENATE("R",'Mapa final'!$A$64),"")</f>
        <v/>
      </c>
      <c r="BA94" s="480"/>
      <c r="BB94" s="480" t="str">
        <f>IF(AND('Mapa final'!$K$70="Muy Baja",'Mapa final'!$O$70="Catastrófico"),CONCATENATE("R",'Mapa final'!$A$70),"")</f>
        <v/>
      </c>
      <c r="BC94" s="480"/>
      <c r="BD94" s="480" t="str">
        <f>IF(AND('Mapa final'!$K$73="Muy Baja",'Mapa final'!$O$73="Catastrófico"),CONCATENATE("R",'Mapa final'!$A$73),"")</f>
        <v/>
      </c>
      <c r="BE94" s="480"/>
      <c r="BF94" s="480" t="str">
        <f>IF(AND('Mapa final'!$K$76="Muy Baja",'Mapa final'!$O$76="Catastrófico"),CONCATENATE("R",'Mapa final'!$A$76),"")</f>
        <v/>
      </c>
      <c r="BG94" s="481"/>
      <c r="BH94" s="56"/>
      <c r="BI94" s="531"/>
      <c r="BJ94" s="532"/>
      <c r="BK94" s="532"/>
      <c r="BL94" s="532"/>
      <c r="BM94" s="532"/>
      <c r="BN94" s="533"/>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row>
    <row r="95" spans="1:100" ht="15" customHeight="1" x14ac:dyDescent="0.35">
      <c r="A95" s="56"/>
      <c r="B95" s="307"/>
      <c r="C95" s="307"/>
      <c r="D95" s="308"/>
      <c r="E95" s="468"/>
      <c r="F95" s="469"/>
      <c r="G95" s="469"/>
      <c r="H95" s="469"/>
      <c r="I95" s="470"/>
      <c r="J95" s="451"/>
      <c r="K95" s="452"/>
      <c r="L95" s="452"/>
      <c r="M95" s="452"/>
      <c r="N95" s="452"/>
      <c r="O95" s="452"/>
      <c r="P95" s="452"/>
      <c r="Q95" s="452"/>
      <c r="R95" s="452"/>
      <c r="S95" s="500"/>
      <c r="T95" s="451"/>
      <c r="U95" s="452"/>
      <c r="V95" s="452"/>
      <c r="W95" s="452"/>
      <c r="X95" s="452"/>
      <c r="Y95" s="452"/>
      <c r="Z95" s="452"/>
      <c r="AA95" s="452"/>
      <c r="AB95" s="452"/>
      <c r="AC95" s="500"/>
      <c r="AD95" s="457"/>
      <c r="AE95" s="458"/>
      <c r="AF95" s="458"/>
      <c r="AG95" s="458"/>
      <c r="AH95" s="458"/>
      <c r="AI95" s="458"/>
      <c r="AJ95" s="458"/>
      <c r="AK95" s="458"/>
      <c r="AL95" s="458"/>
      <c r="AM95" s="461"/>
      <c r="AN95" s="491"/>
      <c r="AO95" s="450"/>
      <c r="AP95" s="450"/>
      <c r="AQ95" s="450"/>
      <c r="AR95" s="450"/>
      <c r="AS95" s="450"/>
      <c r="AT95" s="450"/>
      <c r="AU95" s="450"/>
      <c r="AV95" s="450"/>
      <c r="AW95" s="490"/>
      <c r="AX95" s="482"/>
      <c r="AY95" s="480"/>
      <c r="AZ95" s="480"/>
      <c r="BA95" s="480"/>
      <c r="BB95" s="480"/>
      <c r="BC95" s="480"/>
      <c r="BD95" s="480"/>
      <c r="BE95" s="480"/>
      <c r="BF95" s="480"/>
      <c r="BG95" s="481"/>
      <c r="BH95" s="56"/>
      <c r="BI95" s="531"/>
      <c r="BJ95" s="532"/>
      <c r="BK95" s="532"/>
      <c r="BL95" s="532"/>
      <c r="BM95" s="532"/>
      <c r="BN95" s="533"/>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row>
    <row r="96" spans="1:100" ht="15" customHeight="1" x14ac:dyDescent="0.35">
      <c r="A96" s="56"/>
      <c r="B96" s="307"/>
      <c r="C96" s="307"/>
      <c r="D96" s="308"/>
      <c r="E96" s="468"/>
      <c r="F96" s="469"/>
      <c r="G96" s="469"/>
      <c r="H96" s="469"/>
      <c r="I96" s="470"/>
      <c r="J96" s="451" t="str">
        <f>IF(AND('Mapa final'!$K$79="Muy Baja",'Mapa final'!$O$79="Leve"),CONCATENATE("R",'Mapa final'!$A$79),"")</f>
        <v/>
      </c>
      <c r="K96" s="452"/>
      <c r="L96" s="452" t="str">
        <f>IF(AND('Mapa final'!$K$82="Muy Baja",'Mapa final'!$O$82="Leve"),CONCATENATE("R",'Mapa final'!$A$82),"")</f>
        <v/>
      </c>
      <c r="M96" s="452"/>
      <c r="N96" s="452" t="str">
        <f>IF(AND('Mapa final'!$K$85="Muy Baja",'Mapa final'!$O$85="Leve"),CONCATENATE("R",'Mapa final'!$A$85),"")</f>
        <v/>
      </c>
      <c r="O96" s="452"/>
      <c r="P96" s="452" t="str">
        <f>IF(AND('Mapa final'!$K$88="Muy Baja",'Mapa final'!$O$88="Leve"),CONCATENATE("R",'Mapa final'!$A$88),"")</f>
        <v/>
      </c>
      <c r="Q96" s="452"/>
      <c r="R96" s="452" t="str">
        <f>IF(AND('Mapa final'!$K$91="Muy Baja",'Mapa final'!$O$91="Leve"),CONCATENATE("R",'Mapa final'!$A$91),"")</f>
        <v/>
      </c>
      <c r="S96" s="500"/>
      <c r="T96" s="451" t="str">
        <f>IF(AND('Mapa final'!$K$79="Muy Baja",'Mapa final'!$O$79="Menor"),CONCATENATE("R",'Mapa final'!$A$79),"")</f>
        <v/>
      </c>
      <c r="U96" s="452"/>
      <c r="V96" s="452" t="str">
        <f>IF(AND('Mapa final'!$K$82="Muy Baja",'Mapa final'!$O$82="Menor"),CONCATENATE("R",'Mapa final'!$A$82),"")</f>
        <v/>
      </c>
      <c r="W96" s="452"/>
      <c r="X96" s="452" t="str">
        <f>IF(AND('Mapa final'!$K$85="Muy Baja",'Mapa final'!$O$85="Menor"),CONCATENATE("R",'Mapa final'!$A$85),"")</f>
        <v/>
      </c>
      <c r="Y96" s="452"/>
      <c r="Z96" s="452" t="str">
        <f>IF(AND('Mapa final'!$K$88="Muy Baja",'Mapa final'!$O$88="Menor"),CONCATENATE("R",'Mapa final'!$A$88),"")</f>
        <v/>
      </c>
      <c r="AA96" s="452"/>
      <c r="AB96" s="452" t="str">
        <f>IF(AND('Mapa final'!$K$91="Muy Baja",'Mapa final'!$O$91="Menor"),CONCATENATE("R",'Mapa final'!$A$91),"")</f>
        <v/>
      </c>
      <c r="AC96" s="500"/>
      <c r="AD96" s="457" t="str">
        <f>IF(AND('Mapa final'!$K$79="Muy Baja",'Mapa final'!$O$79="Moderado"),CONCATENATE("R",'Mapa final'!$A$79),"")</f>
        <v>R26</v>
      </c>
      <c r="AE96" s="458"/>
      <c r="AF96" s="458" t="str">
        <f>IF(AND('Mapa final'!$K$82="Muy Baja",'Mapa final'!$O$82="Moderado"),CONCATENATE("R",'Mapa final'!$A$82),"")</f>
        <v/>
      </c>
      <c r="AG96" s="458"/>
      <c r="AH96" s="458" t="str">
        <f>IF(AND('Mapa final'!$K$85="Muy Baja",'Mapa final'!$O$85="Moderado"),CONCATENATE("R",'Mapa final'!$A$85),"")</f>
        <v/>
      </c>
      <c r="AI96" s="458"/>
      <c r="AJ96" s="458" t="str">
        <f>IF(AND('Mapa final'!$K$88="Muy Baja",'Mapa final'!$O$88="Moderado"),CONCATENATE("R",'Mapa final'!$A$88),"")</f>
        <v/>
      </c>
      <c r="AK96" s="458"/>
      <c r="AL96" s="458" t="str">
        <f>IF(AND('Mapa final'!$K$91="Muy Baja",'Mapa final'!$O$91="Moderado"),CONCATENATE("R",'Mapa final'!$A$91),"")</f>
        <v/>
      </c>
      <c r="AM96" s="461"/>
      <c r="AN96" s="491" t="str">
        <f>IF(AND('Mapa final'!$K$79="Muy Baja",'Mapa final'!$O$79="Mayor"),CONCATENATE("R",'Mapa final'!$A$79),"")</f>
        <v/>
      </c>
      <c r="AO96" s="450"/>
      <c r="AP96" s="450" t="str">
        <f>IF(AND('Mapa final'!$K$82="Muy Baja",'Mapa final'!$O$82="Mayor"),CONCATENATE("R",'Mapa final'!$A$82),"")</f>
        <v/>
      </c>
      <c r="AQ96" s="450"/>
      <c r="AR96" s="450" t="str">
        <f>IF(AND('Mapa final'!$K$85="Muy Baja",'Mapa final'!$O$85="Mayor"),CONCATENATE("R",'Mapa final'!$A$85),"")</f>
        <v/>
      </c>
      <c r="AS96" s="450"/>
      <c r="AT96" s="450" t="str">
        <f>IF(AND('Mapa final'!$K$88="Muy Baja",'Mapa final'!$O$88="Mayor"),CONCATENATE("R",'Mapa final'!$A$88),"")</f>
        <v/>
      </c>
      <c r="AU96" s="450"/>
      <c r="AV96" s="450" t="str">
        <f>IF(AND('Mapa final'!$K$91="Muy Baja",'Mapa final'!$O$91="Mayor"),CONCATENATE("R",'Mapa final'!$A$91),"")</f>
        <v/>
      </c>
      <c r="AW96" s="490"/>
      <c r="AX96" s="482" t="str">
        <f>IF(AND('Mapa final'!$K$79="Muy Baja",'Mapa final'!$O$79="Catastrófico"),CONCATENATE("R",'Mapa final'!$A$79),"")</f>
        <v/>
      </c>
      <c r="AY96" s="480"/>
      <c r="AZ96" s="480" t="str">
        <f>IF(AND('Mapa final'!$K$82="Muy Baja",'Mapa final'!$O$82="Catastrófico"),CONCATENATE("R",'Mapa final'!$A$82),"")</f>
        <v/>
      </c>
      <c r="BA96" s="480"/>
      <c r="BB96" s="480" t="str">
        <f>IF(AND('Mapa final'!$K$85="Muy Baja",'Mapa final'!$O$85="Catastrófico"),CONCATENATE("R",'Mapa final'!$A$85),"")</f>
        <v/>
      </c>
      <c r="BC96" s="480"/>
      <c r="BD96" s="480" t="str">
        <f>IF(AND('Mapa final'!$K$88="Muy Baja",'Mapa final'!$O$88="Catastrófico"),CONCATENATE("R",'Mapa final'!$A$88),"")</f>
        <v/>
      </c>
      <c r="BE96" s="480"/>
      <c r="BF96" s="480" t="str">
        <f>IF(AND('Mapa final'!$K$91="Muy Baja",'Mapa final'!$O$91="Catastrófico"),CONCATENATE("R",'Mapa final'!$A$91),"")</f>
        <v/>
      </c>
      <c r="BG96" s="481"/>
      <c r="BH96" s="56"/>
      <c r="BI96" s="531"/>
      <c r="BJ96" s="532"/>
      <c r="BK96" s="532"/>
      <c r="BL96" s="532"/>
      <c r="BM96" s="532"/>
      <c r="BN96" s="533"/>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row>
    <row r="97" spans="1:100" ht="15" customHeight="1" thickBot="1" x14ac:dyDescent="0.4">
      <c r="A97" s="56"/>
      <c r="B97" s="307"/>
      <c r="C97" s="307"/>
      <c r="D97" s="308"/>
      <c r="E97" s="468"/>
      <c r="F97" s="469"/>
      <c r="G97" s="469"/>
      <c r="H97" s="469"/>
      <c r="I97" s="470"/>
      <c r="J97" s="451"/>
      <c r="K97" s="452"/>
      <c r="L97" s="452"/>
      <c r="M97" s="452"/>
      <c r="N97" s="452"/>
      <c r="O97" s="452"/>
      <c r="P97" s="452"/>
      <c r="Q97" s="452"/>
      <c r="R97" s="452"/>
      <c r="S97" s="500"/>
      <c r="T97" s="451"/>
      <c r="U97" s="452"/>
      <c r="V97" s="452"/>
      <c r="W97" s="452"/>
      <c r="X97" s="452"/>
      <c r="Y97" s="452"/>
      <c r="Z97" s="452"/>
      <c r="AA97" s="452"/>
      <c r="AB97" s="452"/>
      <c r="AC97" s="500"/>
      <c r="AD97" s="457"/>
      <c r="AE97" s="458"/>
      <c r="AF97" s="458"/>
      <c r="AG97" s="458"/>
      <c r="AH97" s="458"/>
      <c r="AI97" s="458"/>
      <c r="AJ97" s="458"/>
      <c r="AK97" s="458"/>
      <c r="AL97" s="458"/>
      <c r="AM97" s="461"/>
      <c r="AN97" s="491"/>
      <c r="AO97" s="450"/>
      <c r="AP97" s="450"/>
      <c r="AQ97" s="450"/>
      <c r="AR97" s="450"/>
      <c r="AS97" s="450"/>
      <c r="AT97" s="450"/>
      <c r="AU97" s="450"/>
      <c r="AV97" s="450"/>
      <c r="AW97" s="490"/>
      <c r="AX97" s="482"/>
      <c r="AY97" s="480"/>
      <c r="AZ97" s="480"/>
      <c r="BA97" s="480"/>
      <c r="BB97" s="480"/>
      <c r="BC97" s="480"/>
      <c r="BD97" s="480"/>
      <c r="BE97" s="480"/>
      <c r="BF97" s="480"/>
      <c r="BG97" s="481"/>
      <c r="BH97" s="56"/>
      <c r="BI97" s="534"/>
      <c r="BJ97" s="535"/>
      <c r="BK97" s="535"/>
      <c r="BL97" s="535"/>
      <c r="BM97" s="535"/>
      <c r="BN97" s="536"/>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row>
    <row r="98" spans="1:100" ht="15" customHeight="1" x14ac:dyDescent="0.35">
      <c r="A98" s="56"/>
      <c r="B98" s="307"/>
      <c r="C98" s="307"/>
      <c r="D98" s="308"/>
      <c r="E98" s="468"/>
      <c r="F98" s="469"/>
      <c r="G98" s="469"/>
      <c r="H98" s="469"/>
      <c r="I98" s="470"/>
      <c r="J98" s="451" t="str">
        <f>IF(AND('Mapa final'!$K$94="Muy Baja",'Mapa final'!$O$94="Leve"),CONCATENATE("R",'Mapa final'!$A$94),"")</f>
        <v/>
      </c>
      <c r="K98" s="452"/>
      <c r="L98" s="452" t="e">
        <f>IF(AND('Mapa final'!#REF!="Muy Baja",'Mapa final'!#REF!="Leve"),CONCATENATE("R",'Mapa final'!#REF!),"")</f>
        <v>#REF!</v>
      </c>
      <c r="M98" s="452"/>
      <c r="N98" s="452" t="str">
        <f>IF(AND('Mapa final'!$K$97="Muy Baja",'Mapa final'!$O$97="Leve"),CONCATENATE("R",'Mapa final'!$A$97),"")</f>
        <v/>
      </c>
      <c r="O98" s="452"/>
      <c r="P98" s="452" t="str">
        <f>IF(AND('Mapa final'!$K$100="Muy Baja",'Mapa final'!$O$100="Leve"),CONCATENATE("R",'Mapa final'!$A$100),"")</f>
        <v/>
      </c>
      <c r="Q98" s="452"/>
      <c r="R98" s="452" t="str">
        <f>IF(AND('Mapa final'!$K$103="Muy Baja",'Mapa final'!$O$103="Leve"),CONCATENATE("R",'Mapa final'!$A$103),"")</f>
        <v/>
      </c>
      <c r="S98" s="500"/>
      <c r="T98" s="451" t="str">
        <f>IF(AND('Mapa final'!$K$94="Muy Baja",'Mapa final'!$O$94="Menor"),CONCATENATE("R",'Mapa final'!$A$94),"")</f>
        <v/>
      </c>
      <c r="U98" s="452"/>
      <c r="V98" s="452" t="e">
        <f>IF(AND('Mapa final'!#REF!="Muy Baja",'Mapa final'!#REF!="Menor"),CONCATENATE("R",'Mapa final'!#REF!),"")</f>
        <v>#REF!</v>
      </c>
      <c r="W98" s="452"/>
      <c r="X98" s="452" t="str">
        <f>IF(AND('Mapa final'!$K$97="Muy Baja",'Mapa final'!$O$97="Menor"),CONCATENATE("R",'Mapa final'!$A$97),"")</f>
        <v/>
      </c>
      <c r="Y98" s="452"/>
      <c r="Z98" s="452" t="str">
        <f>IF(AND('Mapa final'!$K$100="Muy Baja",'Mapa final'!$O$100="Menor"),CONCATENATE("R",'Mapa final'!$A$100),"")</f>
        <v/>
      </c>
      <c r="AA98" s="452"/>
      <c r="AB98" s="452" t="str">
        <f>IF(AND('Mapa final'!$K$103="Muy Baja",'Mapa final'!$O$103="Menor"),CONCATENATE("R",'Mapa final'!$A$103),"")</f>
        <v/>
      </c>
      <c r="AC98" s="500"/>
      <c r="AD98" s="457" t="str">
        <f>IF(AND('Mapa final'!$K$94="Muy Baja",'Mapa final'!$O$94="Moderado"),CONCATENATE("R",'Mapa final'!$A$94),"")</f>
        <v/>
      </c>
      <c r="AE98" s="458"/>
      <c r="AF98" s="458" t="e">
        <f>IF(AND('Mapa final'!#REF!="Muy Baja",'Mapa final'!#REF!="Moderado"),CONCATENATE("R",'Mapa final'!#REF!),"")</f>
        <v>#REF!</v>
      </c>
      <c r="AG98" s="458"/>
      <c r="AH98" s="458" t="str">
        <f>IF(AND('Mapa final'!$K$97="Muy Baja",'Mapa final'!$O$97="Moderado"),CONCATENATE("R",'Mapa final'!$A$97),"")</f>
        <v/>
      </c>
      <c r="AI98" s="458"/>
      <c r="AJ98" s="458" t="str">
        <f>IF(AND('Mapa final'!$K$100="Muy Baja",'Mapa final'!$O$100="Moderado"),CONCATENATE("R",'Mapa final'!$A$100),"")</f>
        <v/>
      </c>
      <c r="AK98" s="458"/>
      <c r="AL98" s="458" t="str">
        <f>IF(AND('Mapa final'!$K$103="Muy Baja",'Mapa final'!$O$103="Moderado"),CONCATENATE("R",'Mapa final'!$A$103),"")</f>
        <v/>
      </c>
      <c r="AM98" s="461"/>
      <c r="AN98" s="491" t="str">
        <f>IF(AND('Mapa final'!$K$94="Muy Baja",'Mapa final'!$O$94="Mayor"),CONCATENATE("R",'Mapa final'!$A$94),"")</f>
        <v/>
      </c>
      <c r="AO98" s="450"/>
      <c r="AP98" s="450" t="e">
        <f>IF(AND('Mapa final'!#REF!="Muy Baja",'Mapa final'!#REF!="Mayor"),CONCATENATE("R",'Mapa final'!#REF!),"")</f>
        <v>#REF!</v>
      </c>
      <c r="AQ98" s="450"/>
      <c r="AR98" s="450" t="str">
        <f>IF(AND('Mapa final'!$K$97="Muy Baja",'Mapa final'!$O$97="Mayor"),CONCATENATE("R",'Mapa final'!$A$97),"")</f>
        <v/>
      </c>
      <c r="AS98" s="450"/>
      <c r="AT98" s="450" t="str">
        <f>IF(AND('Mapa final'!$K$100="Muy Baja",'Mapa final'!$O$100="Mayor"),CONCATENATE("R",'Mapa final'!$A$100),"")</f>
        <v/>
      </c>
      <c r="AU98" s="450"/>
      <c r="AV98" s="450" t="str">
        <f>IF(AND('Mapa final'!$K$103="Muy Baja",'Mapa final'!$O$103="Mayor"),CONCATENATE("R",'Mapa final'!$A$103),"")</f>
        <v/>
      </c>
      <c r="AW98" s="490"/>
      <c r="AX98" s="482" t="str">
        <f>IF(AND('Mapa final'!$K$94="Muy Baja",'Mapa final'!$O$94="Catastrófico"),CONCATENATE("R",'Mapa final'!$A$94),"")</f>
        <v/>
      </c>
      <c r="AY98" s="480"/>
      <c r="AZ98" s="480" t="e">
        <f>IF(AND('Mapa final'!#REF!="Muy Baja",'Mapa final'!#REF!="Catastrófico"),CONCATENATE("R",'Mapa final'!#REF!),"")</f>
        <v>#REF!</v>
      </c>
      <c r="BA98" s="480"/>
      <c r="BB98" s="480" t="str">
        <f>IF(AND('Mapa final'!$K$97="Muy Baja",'Mapa final'!$O$97="Catastrófico"),CONCATENATE("R",'Mapa final'!$A$97),"")</f>
        <v/>
      </c>
      <c r="BC98" s="480"/>
      <c r="BD98" s="480" t="str">
        <f>IF(AND('Mapa final'!$K$100="Muy Baja",'Mapa final'!$O$100="Catastrófico"),CONCATENATE("R",'Mapa final'!$A$100),"")</f>
        <v/>
      </c>
      <c r="BE98" s="480"/>
      <c r="BF98" s="480" t="str">
        <f>IF(AND('Mapa final'!$K$103="Muy Baja",'Mapa final'!$O$103="Catastrófico"),CONCATENATE("R",'Mapa final'!$A$103),"")</f>
        <v/>
      </c>
      <c r="BG98" s="481"/>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row>
    <row r="99" spans="1:100" ht="15" customHeight="1" x14ac:dyDescent="0.35">
      <c r="A99" s="56"/>
      <c r="B99" s="307"/>
      <c r="C99" s="307"/>
      <c r="D99" s="308"/>
      <c r="E99" s="468"/>
      <c r="F99" s="469"/>
      <c r="G99" s="469"/>
      <c r="H99" s="469"/>
      <c r="I99" s="470"/>
      <c r="J99" s="451"/>
      <c r="K99" s="452"/>
      <c r="L99" s="452"/>
      <c r="M99" s="452"/>
      <c r="N99" s="452"/>
      <c r="O99" s="452"/>
      <c r="P99" s="452"/>
      <c r="Q99" s="452"/>
      <c r="R99" s="452"/>
      <c r="S99" s="500"/>
      <c r="T99" s="451"/>
      <c r="U99" s="452"/>
      <c r="V99" s="452"/>
      <c r="W99" s="452"/>
      <c r="X99" s="452"/>
      <c r="Y99" s="452"/>
      <c r="Z99" s="452"/>
      <c r="AA99" s="452"/>
      <c r="AB99" s="452"/>
      <c r="AC99" s="500"/>
      <c r="AD99" s="457"/>
      <c r="AE99" s="458"/>
      <c r="AF99" s="458"/>
      <c r="AG99" s="458"/>
      <c r="AH99" s="458"/>
      <c r="AI99" s="458"/>
      <c r="AJ99" s="458"/>
      <c r="AK99" s="458"/>
      <c r="AL99" s="458"/>
      <c r="AM99" s="461"/>
      <c r="AN99" s="491"/>
      <c r="AO99" s="450"/>
      <c r="AP99" s="450"/>
      <c r="AQ99" s="450"/>
      <c r="AR99" s="450"/>
      <c r="AS99" s="450"/>
      <c r="AT99" s="450"/>
      <c r="AU99" s="450"/>
      <c r="AV99" s="450"/>
      <c r="AW99" s="490"/>
      <c r="AX99" s="482"/>
      <c r="AY99" s="480"/>
      <c r="AZ99" s="480"/>
      <c r="BA99" s="480"/>
      <c r="BB99" s="480"/>
      <c r="BC99" s="480"/>
      <c r="BD99" s="480"/>
      <c r="BE99" s="480"/>
      <c r="BF99" s="480"/>
      <c r="BG99" s="481"/>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row>
    <row r="100" spans="1:100" ht="15" customHeight="1" x14ac:dyDescent="0.35">
      <c r="A100" s="56"/>
      <c r="B100" s="307"/>
      <c r="C100" s="307"/>
      <c r="D100" s="308"/>
      <c r="E100" s="468"/>
      <c r="F100" s="469"/>
      <c r="G100" s="469"/>
      <c r="H100" s="469"/>
      <c r="I100" s="470"/>
      <c r="J100" s="451" t="str">
        <f>IF(AND('Mapa final'!$K$106="Muy Baja",'Mapa final'!$O$106="Leve"),CONCATENATE("R",'Mapa final'!$A$106),"")</f>
        <v/>
      </c>
      <c r="K100" s="452"/>
      <c r="L100" s="452" t="str">
        <f>IF(AND('Mapa final'!$K$109="Muy Baja",'Mapa final'!$O$109="Leve"),CONCATENATE("R",'Mapa final'!$A$109),"")</f>
        <v/>
      </c>
      <c r="M100" s="452"/>
      <c r="N100" s="452" t="str">
        <f>IF(AND('Mapa final'!$K$112="Muy Baja",'Mapa final'!$O$112="Leve"),CONCATENATE("R",'Mapa final'!$A$112),"")</f>
        <v/>
      </c>
      <c r="O100" s="452"/>
      <c r="P100" s="452" t="str">
        <f>IF(AND('Mapa final'!$K$115="Muy Baja",'Mapa final'!$O$115="Leve"),CONCATENATE("R",'Mapa final'!$A$115),"")</f>
        <v/>
      </c>
      <c r="Q100" s="452"/>
      <c r="R100" s="452" t="str">
        <f>IF(AND('Mapa final'!$K$118="Muy Baja",'Mapa final'!$O$118="Leve"),CONCATENATE("R",'Mapa final'!$A$118),"")</f>
        <v/>
      </c>
      <c r="S100" s="500"/>
      <c r="T100" s="451" t="str">
        <f>IF(AND('Mapa final'!$K$106="Muy Baja",'Mapa final'!$O$106="Menor"),CONCATENATE("R",'Mapa final'!$A$106),"")</f>
        <v/>
      </c>
      <c r="U100" s="452"/>
      <c r="V100" s="452" t="str">
        <f>IF(AND('Mapa final'!$K$109="Muy Baja",'Mapa final'!$O$109="Menor"),CONCATENATE("R",'Mapa final'!$A$109),"")</f>
        <v/>
      </c>
      <c r="W100" s="452"/>
      <c r="X100" s="452" t="str">
        <f>IF(AND('Mapa final'!$K$112="Muy Baja",'Mapa final'!$O$112="Menor"),CONCATENATE("R",'Mapa final'!$A$112),"")</f>
        <v/>
      </c>
      <c r="Y100" s="452"/>
      <c r="Z100" s="452" t="str">
        <f>IF(AND('Mapa final'!$K$115="Muy Baja",'Mapa final'!$O$115="Menor"),CONCATENATE("R",'Mapa final'!$A$115),"")</f>
        <v/>
      </c>
      <c r="AA100" s="452"/>
      <c r="AB100" s="452" t="str">
        <f>IF(AND('Mapa final'!$K$118="Muy Baja",'Mapa final'!$O$118="Menor"),CONCATENATE("R",'Mapa final'!$A$118),"")</f>
        <v/>
      </c>
      <c r="AC100" s="500"/>
      <c r="AD100" s="457" t="str">
        <f>IF(AND('Mapa final'!$K$106="Muy Baja",'Mapa final'!$O$106="Moderado"),CONCATENATE("R",'Mapa final'!$A$106),"")</f>
        <v/>
      </c>
      <c r="AE100" s="458"/>
      <c r="AF100" s="458" t="str">
        <f>IF(AND('Mapa final'!$K$109="Muy Baja",'Mapa final'!$O$109="Moderado"),CONCATENATE("R",'Mapa final'!$A$109),"")</f>
        <v/>
      </c>
      <c r="AG100" s="458"/>
      <c r="AH100" s="458" t="str">
        <f>IF(AND('Mapa final'!$K$112="Muy Baja",'Mapa final'!$O$112="Moderado"),CONCATENATE("R",'Mapa final'!$A$112),"")</f>
        <v/>
      </c>
      <c r="AI100" s="458"/>
      <c r="AJ100" s="458" t="str">
        <f>IF(AND('Mapa final'!$K$115="Muy Baja",'Mapa final'!$O$115="Moderado"),CONCATENATE("R",'Mapa final'!$A$115),"")</f>
        <v/>
      </c>
      <c r="AK100" s="458"/>
      <c r="AL100" s="458" t="str">
        <f>IF(AND('Mapa final'!$K$118="Muy Baja",'Mapa final'!$O$118="Moderado"),CONCATENATE("R",'Mapa final'!$A$118),"")</f>
        <v/>
      </c>
      <c r="AM100" s="461"/>
      <c r="AN100" s="491" t="str">
        <f>IF(AND('Mapa final'!$K$106="Muy Baja",'Mapa final'!$O$106="Mayor"),CONCATENATE("R",'Mapa final'!$A$106),"")</f>
        <v/>
      </c>
      <c r="AO100" s="450"/>
      <c r="AP100" s="450" t="str">
        <f>IF(AND('Mapa final'!$K$109="Muy Baja",'Mapa final'!$O$109="Mayor"),CONCATENATE("R",'Mapa final'!$A$109),"")</f>
        <v/>
      </c>
      <c r="AQ100" s="450"/>
      <c r="AR100" s="450" t="str">
        <f>IF(AND('Mapa final'!$K$112="Muy Baja",'Mapa final'!$O$112="Mayor"),CONCATENATE("R",'Mapa final'!$A$112),"")</f>
        <v/>
      </c>
      <c r="AS100" s="450"/>
      <c r="AT100" s="450" t="str">
        <f>IF(AND('Mapa final'!$K$115="Muy Baja",'Mapa final'!$O$115="Mayor"),CONCATENATE("R",'Mapa final'!$A$115),"")</f>
        <v/>
      </c>
      <c r="AU100" s="450"/>
      <c r="AV100" s="450" t="str">
        <f>IF(AND('Mapa final'!$K$118="Muy Baja",'Mapa final'!$O$118="Mayor"),CONCATENATE("R",'Mapa final'!$A$118),"")</f>
        <v/>
      </c>
      <c r="AW100" s="490"/>
      <c r="AX100" s="482" t="str">
        <f>IF(AND('Mapa final'!$K$106="Muy Baja",'Mapa final'!$O$106="Catastrófico"),CONCATENATE("R",'Mapa final'!$A$106),"")</f>
        <v/>
      </c>
      <c r="AY100" s="480"/>
      <c r="AZ100" s="480" t="str">
        <f>IF(AND('Mapa final'!$K$109="Muy Baja",'Mapa final'!$O$109="Catastrófico"),CONCATENATE("R",'Mapa final'!$A$109),"")</f>
        <v/>
      </c>
      <c r="BA100" s="480"/>
      <c r="BB100" s="480" t="str">
        <f>IF(AND('Mapa final'!$K$112="Muy Baja",'Mapa final'!$O$112="Catastrófico"),CONCATENATE("R",'Mapa final'!$A$112),"")</f>
        <v/>
      </c>
      <c r="BC100" s="480"/>
      <c r="BD100" s="480" t="str">
        <f>IF(AND('Mapa final'!$K$115="Muy Baja",'Mapa final'!$O$115="Catastrófico"),CONCATENATE("R",'Mapa final'!$A$115),"")</f>
        <v/>
      </c>
      <c r="BE100" s="480"/>
      <c r="BF100" s="480" t="str">
        <f>IF(AND('Mapa final'!$K$118="Muy Baja",'Mapa final'!$O$118="Catastrófico"),CONCATENATE("R",'Mapa final'!$A$118),"")</f>
        <v/>
      </c>
      <c r="BG100" s="481"/>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row>
    <row r="101" spans="1:100" ht="15" customHeight="1" x14ac:dyDescent="0.35">
      <c r="A101" s="56"/>
      <c r="B101" s="307"/>
      <c r="C101" s="307"/>
      <c r="D101" s="308"/>
      <c r="E101" s="468"/>
      <c r="F101" s="469"/>
      <c r="G101" s="469"/>
      <c r="H101" s="469"/>
      <c r="I101" s="470"/>
      <c r="J101" s="451"/>
      <c r="K101" s="452"/>
      <c r="L101" s="452"/>
      <c r="M101" s="452"/>
      <c r="N101" s="452"/>
      <c r="O101" s="452"/>
      <c r="P101" s="452"/>
      <c r="Q101" s="452"/>
      <c r="R101" s="452"/>
      <c r="S101" s="500"/>
      <c r="T101" s="451"/>
      <c r="U101" s="452"/>
      <c r="V101" s="452"/>
      <c r="W101" s="452"/>
      <c r="X101" s="452"/>
      <c r="Y101" s="452"/>
      <c r="Z101" s="452"/>
      <c r="AA101" s="452"/>
      <c r="AB101" s="452"/>
      <c r="AC101" s="500"/>
      <c r="AD101" s="457"/>
      <c r="AE101" s="458"/>
      <c r="AF101" s="458"/>
      <c r="AG101" s="458"/>
      <c r="AH101" s="458"/>
      <c r="AI101" s="458"/>
      <c r="AJ101" s="458"/>
      <c r="AK101" s="458"/>
      <c r="AL101" s="458"/>
      <c r="AM101" s="461"/>
      <c r="AN101" s="491"/>
      <c r="AO101" s="450"/>
      <c r="AP101" s="450"/>
      <c r="AQ101" s="450"/>
      <c r="AR101" s="450"/>
      <c r="AS101" s="450"/>
      <c r="AT101" s="450"/>
      <c r="AU101" s="450"/>
      <c r="AV101" s="450"/>
      <c r="AW101" s="490"/>
      <c r="AX101" s="482"/>
      <c r="AY101" s="480"/>
      <c r="AZ101" s="480"/>
      <c r="BA101" s="480"/>
      <c r="BB101" s="480"/>
      <c r="BC101" s="480"/>
      <c r="BD101" s="480"/>
      <c r="BE101" s="480"/>
      <c r="BF101" s="480"/>
      <c r="BG101" s="481"/>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row>
    <row r="102" spans="1:100" ht="15" customHeight="1" x14ac:dyDescent="0.35">
      <c r="A102" s="56"/>
      <c r="B102" s="307"/>
      <c r="C102" s="307"/>
      <c r="D102" s="308"/>
      <c r="E102" s="468"/>
      <c r="F102" s="469"/>
      <c r="G102" s="469"/>
      <c r="H102" s="469"/>
      <c r="I102" s="470"/>
      <c r="J102" s="451" t="str">
        <f>IF(AND('Mapa final'!$K$121="Muy Baja",'Mapa final'!$O$121="Leve"),CONCATENATE("R",'Mapa final'!$A$121),"")</f>
        <v/>
      </c>
      <c r="K102" s="452"/>
      <c r="L102" s="452" t="str">
        <f>IF(AND('Mapa final'!$K$124="Muy Baja",'Mapa final'!$O$124="Leve"),CONCATENATE("R",'Mapa final'!$A$124),"")</f>
        <v/>
      </c>
      <c r="M102" s="452"/>
      <c r="N102" s="452" t="str">
        <f>IF(AND('Mapa final'!$K$127="Muy Baja",'Mapa final'!$O$127="Leve"),CONCATENATE("R",'Mapa final'!$A$127),"")</f>
        <v/>
      </c>
      <c r="O102" s="452"/>
      <c r="P102" s="452" t="str">
        <f>IF(AND('Mapa final'!$K$130="Muy Baja",'Mapa final'!$O$130="Leve"),CONCATENATE("R",'Mapa final'!$A$130),"")</f>
        <v/>
      </c>
      <c r="Q102" s="452"/>
      <c r="R102" s="452" t="str">
        <f>IF(AND('Mapa final'!$K$133="Muy Baja",'Mapa final'!$O$133="Leve"),CONCATENATE("R",'Mapa final'!$A$133),"")</f>
        <v/>
      </c>
      <c r="S102" s="500"/>
      <c r="T102" s="451" t="str">
        <f>IF(AND('Mapa final'!$K$121="Muy Baja",'Mapa final'!$O$121="Menor"),CONCATENATE("R",'Mapa final'!$A$121),"")</f>
        <v/>
      </c>
      <c r="U102" s="452"/>
      <c r="V102" s="452" t="str">
        <f>IF(AND('Mapa final'!$K$124="Muy Baja",'Mapa final'!$O$124="Menor"),CONCATENATE("R",'Mapa final'!$A$124),"")</f>
        <v/>
      </c>
      <c r="W102" s="452"/>
      <c r="X102" s="452" t="str">
        <f>IF(AND('Mapa final'!$K$127="Muy Baja",'Mapa final'!$O$127="Menor"),CONCATENATE("R",'Mapa final'!$A$127),"")</f>
        <v/>
      </c>
      <c r="Y102" s="452"/>
      <c r="Z102" s="452" t="str">
        <f>IF(AND('Mapa final'!$K$130="Muy Baja",'Mapa final'!$O$130="Menor"),CONCATENATE("R",'Mapa final'!$A$130),"")</f>
        <v/>
      </c>
      <c r="AA102" s="452"/>
      <c r="AB102" s="452" t="str">
        <f>IF(AND('Mapa final'!$K$133="Muy Baja",'Mapa final'!$O$133="Menor"),CONCATENATE("R",'Mapa final'!$A$133),"")</f>
        <v/>
      </c>
      <c r="AC102" s="500"/>
      <c r="AD102" s="457" t="str">
        <f>IF(AND('Mapa final'!$K$121="Muy Baja",'Mapa final'!$O$121="Moderado"),CONCATENATE("R",'Mapa final'!$A$121),"")</f>
        <v/>
      </c>
      <c r="AE102" s="458"/>
      <c r="AF102" s="458" t="str">
        <f>IF(AND('Mapa final'!$K$124="Muy Baja",'Mapa final'!$O$124="Moderado"),CONCATENATE("R",'Mapa final'!$A$124),"")</f>
        <v/>
      </c>
      <c r="AG102" s="458"/>
      <c r="AH102" s="458" t="str">
        <f>IF(AND('Mapa final'!$K$127="Muy Baja",'Mapa final'!$O$127="Moderado"),CONCATENATE("R",'Mapa final'!$A$127),"")</f>
        <v/>
      </c>
      <c r="AI102" s="458"/>
      <c r="AJ102" s="458" t="str">
        <f>IF(AND('Mapa final'!$K$130="Muy Baja",'Mapa final'!$O$130="Moderado"),CONCATENATE("R",'Mapa final'!$A$130),"")</f>
        <v/>
      </c>
      <c r="AK102" s="458"/>
      <c r="AL102" s="458" t="str">
        <f>IF(AND('Mapa final'!$K$133="Muy Baja",'Mapa final'!$O$133="Moderado"),CONCATENATE("R",'Mapa final'!$A$133),"")</f>
        <v/>
      </c>
      <c r="AM102" s="461"/>
      <c r="AN102" s="491" t="str">
        <f>IF(AND('Mapa final'!$K$121="Muy Baja",'Mapa final'!$O$121="Mayor"),CONCATENATE("R",'Mapa final'!$A$121),"")</f>
        <v/>
      </c>
      <c r="AO102" s="450"/>
      <c r="AP102" s="450" t="str">
        <f>IF(AND('Mapa final'!$K$124="Muy Baja",'Mapa final'!$O$124="Mayor"),CONCATENATE("R",'Mapa final'!$A$124),"")</f>
        <v/>
      </c>
      <c r="AQ102" s="450"/>
      <c r="AR102" s="450" t="str">
        <f>IF(AND('Mapa final'!$K$127="Muy Baja",'Mapa final'!$O$127="Mayor"),CONCATENATE("R",'Mapa final'!$A$127),"")</f>
        <v/>
      </c>
      <c r="AS102" s="450"/>
      <c r="AT102" s="450" t="str">
        <f>IF(AND('Mapa final'!$K$130="Muy Baja",'Mapa final'!$O$130="Mayor"),CONCATENATE("R",'Mapa final'!$A$130),"")</f>
        <v/>
      </c>
      <c r="AU102" s="450"/>
      <c r="AV102" s="450" t="str">
        <f>IF(AND('Mapa final'!$K$133="Muy Baja",'Mapa final'!$O$133="Mayor"),CONCATENATE("R",'Mapa final'!$A$133),"")</f>
        <v/>
      </c>
      <c r="AW102" s="490"/>
      <c r="AX102" s="482" t="str">
        <f>IF(AND('Mapa final'!$K$121="Muy Baja",'Mapa final'!$O$121="Catastrófico"),CONCATENATE("R",'Mapa final'!$A$121),"")</f>
        <v/>
      </c>
      <c r="AY102" s="480"/>
      <c r="AZ102" s="480" t="str">
        <f>IF(AND('Mapa final'!$K$124="Muy Baja",'Mapa final'!$O$124="Catastrófico"),CONCATENATE("R",'Mapa final'!$A$124),"")</f>
        <v/>
      </c>
      <c r="BA102" s="480"/>
      <c r="BB102" s="480" t="str">
        <f>IF(AND('Mapa final'!$K$127="Muy Baja",'Mapa final'!$O$127="Catastrófico"),CONCATENATE("R",'Mapa final'!$A$127),"")</f>
        <v/>
      </c>
      <c r="BC102" s="480"/>
      <c r="BD102" s="480" t="str">
        <f>IF(AND('Mapa final'!$K$130="Muy Baja",'Mapa final'!$O$130="Catastrófico"),CONCATENATE("R",'Mapa final'!$A$130),"")</f>
        <v/>
      </c>
      <c r="BE102" s="480"/>
      <c r="BF102" s="480" t="str">
        <f>IF(AND('Mapa final'!$K$133="Muy Baja",'Mapa final'!$O$133="Catastrófico"),CONCATENATE("R",'Mapa final'!$A$133),"")</f>
        <v/>
      </c>
      <c r="BG102" s="481"/>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row>
    <row r="103" spans="1:100" ht="15" customHeight="1" x14ac:dyDescent="0.35">
      <c r="A103" s="56"/>
      <c r="B103" s="307"/>
      <c r="C103" s="307"/>
      <c r="D103" s="308"/>
      <c r="E103" s="468"/>
      <c r="F103" s="469"/>
      <c r="G103" s="469"/>
      <c r="H103" s="469"/>
      <c r="I103" s="470"/>
      <c r="J103" s="451"/>
      <c r="K103" s="452"/>
      <c r="L103" s="452"/>
      <c r="M103" s="452"/>
      <c r="N103" s="452"/>
      <c r="O103" s="452"/>
      <c r="P103" s="452"/>
      <c r="Q103" s="452"/>
      <c r="R103" s="452"/>
      <c r="S103" s="500"/>
      <c r="T103" s="451"/>
      <c r="U103" s="452"/>
      <c r="V103" s="452"/>
      <c r="W103" s="452"/>
      <c r="X103" s="452"/>
      <c r="Y103" s="452"/>
      <c r="Z103" s="452"/>
      <c r="AA103" s="452"/>
      <c r="AB103" s="452"/>
      <c r="AC103" s="500"/>
      <c r="AD103" s="457"/>
      <c r="AE103" s="458"/>
      <c r="AF103" s="458"/>
      <c r="AG103" s="458"/>
      <c r="AH103" s="458"/>
      <c r="AI103" s="458"/>
      <c r="AJ103" s="458"/>
      <c r="AK103" s="458"/>
      <c r="AL103" s="458"/>
      <c r="AM103" s="461"/>
      <c r="AN103" s="491"/>
      <c r="AO103" s="450"/>
      <c r="AP103" s="450"/>
      <c r="AQ103" s="450"/>
      <c r="AR103" s="450"/>
      <c r="AS103" s="450"/>
      <c r="AT103" s="450"/>
      <c r="AU103" s="450"/>
      <c r="AV103" s="450"/>
      <c r="AW103" s="490"/>
      <c r="AX103" s="482"/>
      <c r="AY103" s="480"/>
      <c r="AZ103" s="480"/>
      <c r="BA103" s="480"/>
      <c r="BB103" s="480"/>
      <c r="BC103" s="480"/>
      <c r="BD103" s="480"/>
      <c r="BE103" s="480"/>
      <c r="BF103" s="480"/>
      <c r="BG103" s="481"/>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row>
    <row r="104" spans="1:100" ht="15" customHeight="1" x14ac:dyDescent="0.35">
      <c r="A104" s="56"/>
      <c r="B104" s="307"/>
      <c r="C104" s="307"/>
      <c r="D104" s="308"/>
      <c r="E104" s="468"/>
      <c r="F104" s="469"/>
      <c r="G104" s="469"/>
      <c r="H104" s="469"/>
      <c r="I104" s="470"/>
      <c r="J104" s="451" t="str">
        <f>IF(AND('Mapa final'!$K$136="Muy Baja",'Mapa final'!$O$136="Leve"),CONCATENATE("R",'Mapa final'!$A$136),"")</f>
        <v/>
      </c>
      <c r="K104" s="452"/>
      <c r="L104" s="452" t="str">
        <f>IF(AND('Mapa final'!$K$139="Muy Baja",'Mapa final'!$O$139="Leve"),CONCATENATE("R",'Mapa final'!$A$139),"")</f>
        <v/>
      </c>
      <c r="M104" s="452"/>
      <c r="N104" s="452" t="str">
        <f>IF(AND('Mapa final'!$K$142="Muy Baja",'Mapa final'!$O$142="Leve"),CONCATENATE("R",'Mapa final'!$A$142),"")</f>
        <v/>
      </c>
      <c r="O104" s="452"/>
      <c r="P104" s="452" t="str">
        <f>IF(AND('Mapa final'!$K$145="Muy Baja",'Mapa final'!$O$145="Leve"),CONCATENATE("R",'Mapa final'!$A$145),"")</f>
        <v/>
      </c>
      <c r="Q104" s="452"/>
      <c r="R104" s="452" t="str">
        <f>IF(AND('Mapa final'!$K$148="Muy Baja",'Mapa final'!$O$148="Leve"),CONCATENATE("R",'Mapa final'!$A$148),"")</f>
        <v/>
      </c>
      <c r="S104" s="500"/>
      <c r="T104" s="451" t="str">
        <f>IF(AND('Mapa final'!$K$136="Muy Baja",'Mapa final'!$O$136="Menor"),CONCATENATE("R",'Mapa final'!$A$136),"")</f>
        <v/>
      </c>
      <c r="U104" s="452"/>
      <c r="V104" s="452" t="str">
        <f>IF(AND('Mapa final'!$K$139="Muy Baja",'Mapa final'!$O$139="Menor"),CONCATENATE("R",'Mapa final'!$A$139),"")</f>
        <v/>
      </c>
      <c r="W104" s="452"/>
      <c r="X104" s="452" t="str">
        <f>IF(AND('Mapa final'!$K$142="Muy Baja",'Mapa final'!$O$142="Menor"),CONCATENATE("R",'Mapa final'!$A$142),"")</f>
        <v/>
      </c>
      <c r="Y104" s="452"/>
      <c r="Z104" s="452" t="str">
        <f>IF(AND('Mapa final'!$K$145="Muy Baja",'Mapa final'!$O$145="Menor"),CONCATENATE("R",'Mapa final'!$A$145),"")</f>
        <v/>
      </c>
      <c r="AA104" s="452"/>
      <c r="AB104" s="452" t="str">
        <f>IF(AND('Mapa final'!$K$148="Muy Baja",'Mapa final'!$O$148="Menor"),CONCATENATE("R",'Mapa final'!$A$148),"")</f>
        <v/>
      </c>
      <c r="AC104" s="500"/>
      <c r="AD104" s="457" t="str">
        <f>IF(AND('Mapa final'!$K$136="Muy Baja",'Mapa final'!$O$136="Moderado"),CONCATENATE("R",'Mapa final'!$A$136),"")</f>
        <v/>
      </c>
      <c r="AE104" s="458"/>
      <c r="AF104" s="458" t="str">
        <f>IF(AND('Mapa final'!$K$139="Muy Baja",'Mapa final'!$O$139="Moderado"),CONCATENATE("R",'Mapa final'!$A$139),"")</f>
        <v/>
      </c>
      <c r="AG104" s="458"/>
      <c r="AH104" s="458" t="str">
        <f>IF(AND('Mapa final'!$K$142="Muy Baja",'Mapa final'!$O$142="Moderado"),CONCATENATE("R",'Mapa final'!$A$142),"")</f>
        <v/>
      </c>
      <c r="AI104" s="458"/>
      <c r="AJ104" s="458" t="str">
        <f>IF(AND('Mapa final'!$K$145="Muy Baja",'Mapa final'!$O$145="Moderado"),CONCATENATE("R",'Mapa final'!$A$145),"")</f>
        <v/>
      </c>
      <c r="AK104" s="458"/>
      <c r="AL104" s="458" t="str">
        <f>IF(AND('Mapa final'!$K$148="Muy Baja",'Mapa final'!$O$148="Moderado"),CONCATENATE("R",'Mapa final'!$A$148),"")</f>
        <v/>
      </c>
      <c r="AM104" s="461"/>
      <c r="AN104" s="491" t="str">
        <f>IF(AND('Mapa final'!$K$136="Muy Baja",'Mapa final'!$O$136="Mayor"),CONCATENATE("R",'Mapa final'!$A$136),"")</f>
        <v/>
      </c>
      <c r="AO104" s="450"/>
      <c r="AP104" s="450" t="str">
        <f>IF(AND('Mapa final'!$K$139="Muy Baja",'Mapa final'!$O$139="Mayor"),CONCATENATE("R",'Mapa final'!$A$139),"")</f>
        <v/>
      </c>
      <c r="AQ104" s="450"/>
      <c r="AR104" s="450" t="str">
        <f>IF(AND('Mapa final'!$K$142="Muy Baja",'Mapa final'!$O$142="Mayor"),CONCATENATE("R",'Mapa final'!$A$142),"")</f>
        <v/>
      </c>
      <c r="AS104" s="450"/>
      <c r="AT104" s="450" t="str">
        <f>IF(AND('Mapa final'!$K$145="Muy Baja",'Mapa final'!$O$145="Mayor"),CONCATENATE("R",'Mapa final'!$A$145),"")</f>
        <v/>
      </c>
      <c r="AU104" s="450"/>
      <c r="AV104" s="450" t="str">
        <f>IF(AND('Mapa final'!$K$148="Muy Baja",'Mapa final'!$O$148="Mayor"),CONCATENATE("R",'Mapa final'!$A$148),"")</f>
        <v/>
      </c>
      <c r="AW104" s="490"/>
      <c r="AX104" s="482" t="str">
        <f>IF(AND('Mapa final'!$K$136="Muy Baja",'Mapa final'!$O$136="Catastrófico"),CONCATENATE("R",'Mapa final'!$A$136),"")</f>
        <v/>
      </c>
      <c r="AY104" s="480"/>
      <c r="AZ104" s="480" t="str">
        <f>IF(AND('Mapa final'!$K$139="Muy Baja",'Mapa final'!$O$139="Catastrófico"),CONCATENATE("R",'Mapa final'!$A$139),"")</f>
        <v/>
      </c>
      <c r="BA104" s="480"/>
      <c r="BB104" s="480" t="str">
        <f>IF(AND('Mapa final'!$K$142="Muy Baja",'Mapa final'!$O$142="Catastrófico"),CONCATENATE("R",'Mapa final'!$A$142),"")</f>
        <v/>
      </c>
      <c r="BC104" s="480"/>
      <c r="BD104" s="480" t="str">
        <f>IF(AND('Mapa final'!$K$145="Muy Baja",'Mapa final'!$O$145="Catastrófico"),CONCATENATE("R",'Mapa final'!$A$145),"")</f>
        <v/>
      </c>
      <c r="BE104" s="480"/>
      <c r="BF104" s="480" t="str">
        <f>IF(AND('Mapa final'!$K$148="Muy Baja",'Mapa final'!$O$148="Catastrófico"),CONCATENATE("R",'Mapa final'!$A$148),"")</f>
        <v/>
      </c>
      <c r="BG104" s="481"/>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row>
    <row r="105" spans="1:100" ht="15.75" customHeight="1" thickBot="1" x14ac:dyDescent="0.4">
      <c r="A105" s="56"/>
      <c r="B105" s="307"/>
      <c r="C105" s="307"/>
      <c r="D105" s="308"/>
      <c r="E105" s="471"/>
      <c r="F105" s="472"/>
      <c r="G105" s="472"/>
      <c r="H105" s="472"/>
      <c r="I105" s="473"/>
      <c r="J105" s="453"/>
      <c r="K105" s="454"/>
      <c r="L105" s="454"/>
      <c r="M105" s="454"/>
      <c r="N105" s="454"/>
      <c r="O105" s="454"/>
      <c r="P105" s="454"/>
      <c r="Q105" s="454"/>
      <c r="R105" s="454"/>
      <c r="S105" s="537"/>
      <c r="T105" s="453"/>
      <c r="U105" s="454"/>
      <c r="V105" s="454"/>
      <c r="W105" s="454"/>
      <c r="X105" s="454"/>
      <c r="Y105" s="454"/>
      <c r="Z105" s="454"/>
      <c r="AA105" s="454"/>
      <c r="AB105" s="454"/>
      <c r="AC105" s="537"/>
      <c r="AD105" s="459"/>
      <c r="AE105" s="460"/>
      <c r="AF105" s="460"/>
      <c r="AG105" s="460"/>
      <c r="AH105" s="460"/>
      <c r="AI105" s="460"/>
      <c r="AJ105" s="460"/>
      <c r="AK105" s="460"/>
      <c r="AL105" s="460"/>
      <c r="AM105" s="462"/>
      <c r="AN105" s="492"/>
      <c r="AO105" s="489"/>
      <c r="AP105" s="489"/>
      <c r="AQ105" s="489"/>
      <c r="AR105" s="489"/>
      <c r="AS105" s="489"/>
      <c r="AT105" s="489"/>
      <c r="AU105" s="489"/>
      <c r="AV105" s="489"/>
      <c r="AW105" s="493"/>
      <c r="AX105" s="483"/>
      <c r="AY105" s="484"/>
      <c r="AZ105" s="484"/>
      <c r="BA105" s="484"/>
      <c r="BB105" s="484"/>
      <c r="BC105" s="484"/>
      <c r="BD105" s="484"/>
      <c r="BE105" s="484"/>
      <c r="BF105" s="484"/>
      <c r="BG105" s="485"/>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row>
    <row r="106" spans="1:100" x14ac:dyDescent="0.35">
      <c r="A106" s="56"/>
      <c r="B106" s="56"/>
      <c r="C106" s="56"/>
      <c r="D106" s="56"/>
      <c r="E106" s="56"/>
      <c r="F106" s="56"/>
      <c r="G106" s="56"/>
      <c r="H106" s="56"/>
      <c r="I106" s="56"/>
      <c r="J106" s="497" t="s">
        <v>103</v>
      </c>
      <c r="K106" s="474"/>
      <c r="L106" s="474"/>
      <c r="M106" s="474"/>
      <c r="N106" s="474"/>
      <c r="O106" s="474"/>
      <c r="P106" s="474"/>
      <c r="Q106" s="474"/>
      <c r="R106" s="474"/>
      <c r="S106" s="470"/>
      <c r="T106" s="497" t="s">
        <v>102</v>
      </c>
      <c r="U106" s="474"/>
      <c r="V106" s="474"/>
      <c r="W106" s="474"/>
      <c r="X106" s="474"/>
      <c r="Y106" s="474"/>
      <c r="Z106" s="474"/>
      <c r="AA106" s="474"/>
      <c r="AB106" s="474"/>
      <c r="AC106" s="470"/>
      <c r="AD106" s="497" t="s">
        <v>101</v>
      </c>
      <c r="AE106" s="474"/>
      <c r="AF106" s="474"/>
      <c r="AG106" s="474"/>
      <c r="AH106" s="474"/>
      <c r="AI106" s="474"/>
      <c r="AJ106" s="474"/>
      <c r="AK106" s="474"/>
      <c r="AL106" s="474"/>
      <c r="AM106" s="470"/>
      <c r="AN106" s="497" t="s">
        <v>100</v>
      </c>
      <c r="AO106" s="498"/>
      <c r="AP106" s="498"/>
      <c r="AQ106" s="498"/>
      <c r="AR106" s="498"/>
      <c r="AS106" s="498"/>
      <c r="AT106" s="474"/>
      <c r="AU106" s="474"/>
      <c r="AV106" s="474"/>
      <c r="AW106" s="470"/>
      <c r="AX106" s="497" t="s">
        <v>99</v>
      </c>
      <c r="AY106" s="474"/>
      <c r="AZ106" s="474"/>
      <c r="BA106" s="474"/>
      <c r="BB106" s="474"/>
      <c r="BC106" s="474"/>
      <c r="BD106" s="474"/>
      <c r="BE106" s="474"/>
      <c r="BF106" s="474"/>
      <c r="BG106" s="470"/>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row>
    <row r="107" spans="1:100" x14ac:dyDescent="0.35">
      <c r="A107" s="56"/>
      <c r="B107" s="56"/>
      <c r="C107" s="56"/>
      <c r="D107" s="56"/>
      <c r="E107" s="56"/>
      <c r="F107" s="56"/>
      <c r="G107" s="56"/>
      <c r="H107" s="56"/>
      <c r="I107" s="56"/>
      <c r="J107" s="468"/>
      <c r="K107" s="469"/>
      <c r="L107" s="469"/>
      <c r="M107" s="469"/>
      <c r="N107" s="469"/>
      <c r="O107" s="469"/>
      <c r="P107" s="469"/>
      <c r="Q107" s="469"/>
      <c r="R107" s="469"/>
      <c r="S107" s="470"/>
      <c r="T107" s="468"/>
      <c r="U107" s="469"/>
      <c r="V107" s="469"/>
      <c r="W107" s="469"/>
      <c r="X107" s="469"/>
      <c r="Y107" s="469"/>
      <c r="Z107" s="469"/>
      <c r="AA107" s="469"/>
      <c r="AB107" s="469"/>
      <c r="AC107" s="470"/>
      <c r="AD107" s="468"/>
      <c r="AE107" s="469"/>
      <c r="AF107" s="469"/>
      <c r="AG107" s="469"/>
      <c r="AH107" s="469"/>
      <c r="AI107" s="469"/>
      <c r="AJ107" s="469"/>
      <c r="AK107" s="469"/>
      <c r="AL107" s="469"/>
      <c r="AM107" s="470"/>
      <c r="AN107" s="468"/>
      <c r="AO107" s="469"/>
      <c r="AP107" s="469"/>
      <c r="AQ107" s="469"/>
      <c r="AR107" s="469"/>
      <c r="AS107" s="469"/>
      <c r="AT107" s="469"/>
      <c r="AU107" s="469"/>
      <c r="AV107" s="469"/>
      <c r="AW107" s="470"/>
      <c r="AX107" s="468"/>
      <c r="AY107" s="469"/>
      <c r="AZ107" s="469"/>
      <c r="BA107" s="469"/>
      <c r="BB107" s="469"/>
      <c r="BC107" s="469"/>
      <c r="BD107" s="469"/>
      <c r="BE107" s="469"/>
      <c r="BF107" s="469"/>
      <c r="BG107" s="470"/>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row>
    <row r="108" spans="1:100" x14ac:dyDescent="0.35">
      <c r="A108" s="56"/>
      <c r="B108" s="56"/>
      <c r="C108" s="56"/>
      <c r="D108" s="56"/>
      <c r="E108" s="56"/>
      <c r="F108" s="56"/>
      <c r="G108" s="56"/>
      <c r="H108" s="56"/>
      <c r="I108" s="56"/>
      <c r="J108" s="468"/>
      <c r="K108" s="469"/>
      <c r="L108" s="469"/>
      <c r="M108" s="469"/>
      <c r="N108" s="469"/>
      <c r="O108" s="469"/>
      <c r="P108" s="469"/>
      <c r="Q108" s="469"/>
      <c r="R108" s="469"/>
      <c r="S108" s="470"/>
      <c r="T108" s="468"/>
      <c r="U108" s="469"/>
      <c r="V108" s="469"/>
      <c r="W108" s="469"/>
      <c r="X108" s="469"/>
      <c r="Y108" s="469"/>
      <c r="Z108" s="469"/>
      <c r="AA108" s="469"/>
      <c r="AB108" s="469"/>
      <c r="AC108" s="470"/>
      <c r="AD108" s="468"/>
      <c r="AE108" s="469"/>
      <c r="AF108" s="469"/>
      <c r="AG108" s="469"/>
      <c r="AH108" s="469"/>
      <c r="AI108" s="469"/>
      <c r="AJ108" s="469"/>
      <c r="AK108" s="469"/>
      <c r="AL108" s="469"/>
      <c r="AM108" s="470"/>
      <c r="AN108" s="468"/>
      <c r="AO108" s="469"/>
      <c r="AP108" s="469"/>
      <c r="AQ108" s="469"/>
      <c r="AR108" s="469"/>
      <c r="AS108" s="469"/>
      <c r="AT108" s="469"/>
      <c r="AU108" s="469"/>
      <c r="AV108" s="469"/>
      <c r="AW108" s="470"/>
      <c r="AX108" s="468"/>
      <c r="AY108" s="469"/>
      <c r="AZ108" s="469"/>
      <c r="BA108" s="469"/>
      <c r="BB108" s="469"/>
      <c r="BC108" s="469"/>
      <c r="BD108" s="469"/>
      <c r="BE108" s="469"/>
      <c r="BF108" s="469"/>
      <c r="BG108" s="470"/>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row>
    <row r="109" spans="1:100" x14ac:dyDescent="0.35">
      <c r="A109" s="56"/>
      <c r="B109" s="56"/>
      <c r="C109" s="56"/>
      <c r="D109" s="56"/>
      <c r="E109" s="56"/>
      <c r="F109" s="56"/>
      <c r="G109" s="56"/>
      <c r="H109" s="56"/>
      <c r="I109" s="56"/>
      <c r="J109" s="468"/>
      <c r="K109" s="469"/>
      <c r="L109" s="469"/>
      <c r="M109" s="469"/>
      <c r="N109" s="469"/>
      <c r="O109" s="469"/>
      <c r="P109" s="469"/>
      <c r="Q109" s="469"/>
      <c r="R109" s="469"/>
      <c r="S109" s="470"/>
      <c r="T109" s="468"/>
      <c r="U109" s="469"/>
      <c r="V109" s="469"/>
      <c r="W109" s="469"/>
      <c r="X109" s="469"/>
      <c r="Y109" s="469"/>
      <c r="Z109" s="469"/>
      <c r="AA109" s="469"/>
      <c r="AB109" s="469"/>
      <c r="AC109" s="470"/>
      <c r="AD109" s="468"/>
      <c r="AE109" s="469"/>
      <c r="AF109" s="469"/>
      <c r="AG109" s="469"/>
      <c r="AH109" s="469"/>
      <c r="AI109" s="469"/>
      <c r="AJ109" s="469"/>
      <c r="AK109" s="469"/>
      <c r="AL109" s="469"/>
      <c r="AM109" s="470"/>
      <c r="AN109" s="468"/>
      <c r="AO109" s="469"/>
      <c r="AP109" s="469"/>
      <c r="AQ109" s="469"/>
      <c r="AR109" s="469"/>
      <c r="AS109" s="469"/>
      <c r="AT109" s="469"/>
      <c r="AU109" s="469"/>
      <c r="AV109" s="469"/>
      <c r="AW109" s="470"/>
      <c r="AX109" s="468"/>
      <c r="AY109" s="469"/>
      <c r="AZ109" s="469"/>
      <c r="BA109" s="469"/>
      <c r="BB109" s="469"/>
      <c r="BC109" s="469"/>
      <c r="BD109" s="469"/>
      <c r="BE109" s="469"/>
      <c r="BF109" s="469"/>
      <c r="BG109" s="470"/>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row>
    <row r="110" spans="1:100" x14ac:dyDescent="0.35">
      <c r="A110" s="56"/>
      <c r="B110" s="56"/>
      <c r="C110" s="56"/>
      <c r="D110" s="56"/>
      <c r="E110" s="56"/>
      <c r="F110" s="56"/>
      <c r="G110" s="56"/>
      <c r="H110" s="56"/>
      <c r="I110" s="56"/>
      <c r="J110" s="468"/>
      <c r="K110" s="469"/>
      <c r="L110" s="469"/>
      <c r="M110" s="469"/>
      <c r="N110" s="469"/>
      <c r="O110" s="469"/>
      <c r="P110" s="469"/>
      <c r="Q110" s="469"/>
      <c r="R110" s="469"/>
      <c r="S110" s="470"/>
      <c r="T110" s="468"/>
      <c r="U110" s="469"/>
      <c r="V110" s="469"/>
      <c r="W110" s="469"/>
      <c r="X110" s="469"/>
      <c r="Y110" s="469"/>
      <c r="Z110" s="469"/>
      <c r="AA110" s="469"/>
      <c r="AB110" s="469"/>
      <c r="AC110" s="470"/>
      <c r="AD110" s="468"/>
      <c r="AE110" s="469"/>
      <c r="AF110" s="469"/>
      <c r="AG110" s="469"/>
      <c r="AH110" s="469"/>
      <c r="AI110" s="469"/>
      <c r="AJ110" s="469"/>
      <c r="AK110" s="469"/>
      <c r="AL110" s="469"/>
      <c r="AM110" s="470"/>
      <c r="AN110" s="468"/>
      <c r="AO110" s="469"/>
      <c r="AP110" s="469"/>
      <c r="AQ110" s="469"/>
      <c r="AR110" s="469"/>
      <c r="AS110" s="469"/>
      <c r="AT110" s="469"/>
      <c r="AU110" s="469"/>
      <c r="AV110" s="469"/>
      <c r="AW110" s="470"/>
      <c r="AX110" s="468"/>
      <c r="AY110" s="469"/>
      <c r="AZ110" s="469"/>
      <c r="BA110" s="469"/>
      <c r="BB110" s="469"/>
      <c r="BC110" s="469"/>
      <c r="BD110" s="469"/>
      <c r="BE110" s="469"/>
      <c r="BF110" s="469"/>
      <c r="BG110" s="470"/>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row>
    <row r="111" spans="1:100" ht="15" thickBot="1" x14ac:dyDescent="0.4">
      <c r="A111" s="56"/>
      <c r="B111" s="56"/>
      <c r="C111" s="56"/>
      <c r="D111" s="56"/>
      <c r="E111" s="56"/>
      <c r="F111" s="56"/>
      <c r="G111" s="56"/>
      <c r="H111" s="56"/>
      <c r="I111" s="56"/>
      <c r="J111" s="471"/>
      <c r="K111" s="472"/>
      <c r="L111" s="472"/>
      <c r="M111" s="472"/>
      <c r="N111" s="472"/>
      <c r="O111" s="472"/>
      <c r="P111" s="472"/>
      <c r="Q111" s="472"/>
      <c r="R111" s="472"/>
      <c r="S111" s="473"/>
      <c r="T111" s="471"/>
      <c r="U111" s="472"/>
      <c r="V111" s="472"/>
      <c r="W111" s="472"/>
      <c r="X111" s="472"/>
      <c r="Y111" s="472"/>
      <c r="Z111" s="472"/>
      <c r="AA111" s="472"/>
      <c r="AB111" s="472"/>
      <c r="AC111" s="473"/>
      <c r="AD111" s="471"/>
      <c r="AE111" s="472"/>
      <c r="AF111" s="472"/>
      <c r="AG111" s="472"/>
      <c r="AH111" s="472"/>
      <c r="AI111" s="472"/>
      <c r="AJ111" s="472"/>
      <c r="AK111" s="472"/>
      <c r="AL111" s="472"/>
      <c r="AM111" s="473"/>
      <c r="AN111" s="471"/>
      <c r="AO111" s="472"/>
      <c r="AP111" s="472"/>
      <c r="AQ111" s="472"/>
      <c r="AR111" s="472"/>
      <c r="AS111" s="472"/>
      <c r="AT111" s="472"/>
      <c r="AU111" s="472"/>
      <c r="AV111" s="472"/>
      <c r="AW111" s="473"/>
      <c r="AX111" s="471"/>
      <c r="AY111" s="472"/>
      <c r="AZ111" s="472"/>
      <c r="BA111" s="472"/>
      <c r="BB111" s="472"/>
      <c r="BC111" s="472"/>
      <c r="BD111" s="472"/>
      <c r="BE111" s="472"/>
      <c r="BF111" s="472"/>
      <c r="BG111" s="473"/>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row>
    <row r="112" spans="1:100" x14ac:dyDescent="0.3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row>
    <row r="113" spans="1:100" ht="15" customHeight="1" x14ac:dyDescent="0.35">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row>
    <row r="114" spans="1:100" ht="15" customHeight="1" x14ac:dyDescent="0.35">
      <c r="A114" s="5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row>
    <row r="115" spans="1:100" x14ac:dyDescent="0.3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row>
    <row r="116" spans="1:100" x14ac:dyDescent="0.3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row>
    <row r="117" spans="1:100" x14ac:dyDescent="0.3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row>
    <row r="118" spans="1:100" x14ac:dyDescent="0.3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row>
    <row r="119" spans="1:100" x14ac:dyDescent="0.3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row>
    <row r="120" spans="1:100" x14ac:dyDescent="0.3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row>
    <row r="121" spans="1:100" ht="21" x14ac:dyDescent="0.3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60"/>
      <c r="BJ121" s="60"/>
      <c r="BK121" s="60"/>
      <c r="BL121" s="60"/>
      <c r="BM121" s="60"/>
      <c r="BN121" s="60"/>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row>
    <row r="122" spans="1:100" ht="21" x14ac:dyDescent="0.3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60"/>
      <c r="BJ122" s="60"/>
      <c r="BK122" s="60"/>
      <c r="BL122" s="60"/>
      <c r="BM122" s="60"/>
      <c r="BN122" s="60"/>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row>
    <row r="123" spans="1:100" x14ac:dyDescent="0.3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row>
    <row r="124" spans="1:100" x14ac:dyDescent="0.3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row>
    <row r="125" spans="1:100" x14ac:dyDescent="0.3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row>
    <row r="126" spans="1:100" x14ac:dyDescent="0.3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row>
    <row r="127" spans="1:100" x14ac:dyDescent="0.3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row>
    <row r="128" spans="1:100" x14ac:dyDescent="0.3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row>
    <row r="129" spans="1:100" x14ac:dyDescent="0.3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row>
    <row r="130" spans="1:100" x14ac:dyDescent="0.3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row>
    <row r="131" spans="1:100" x14ac:dyDescent="0.3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row>
    <row r="132" spans="1:100" x14ac:dyDescent="0.3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row>
    <row r="133" spans="1:100" x14ac:dyDescent="0.3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row>
    <row r="134" spans="1:100" x14ac:dyDescent="0.3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row>
    <row r="135" spans="1:100" x14ac:dyDescent="0.3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row>
    <row r="136" spans="1:100" x14ac:dyDescent="0.3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row>
    <row r="137" spans="1:100" x14ac:dyDescent="0.3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row>
    <row r="138" spans="1:100" x14ac:dyDescent="0.3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row>
    <row r="139" spans="1:100" x14ac:dyDescent="0.3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row>
    <row r="140" spans="1:100" x14ac:dyDescent="0.3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row>
    <row r="141" spans="1:100" x14ac:dyDescent="0.3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row>
    <row r="142" spans="1:100" x14ac:dyDescent="0.3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row>
    <row r="143" spans="1:100" x14ac:dyDescent="0.3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row>
    <row r="144" spans="1:100" x14ac:dyDescent="0.3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row>
    <row r="145" spans="1:83" x14ac:dyDescent="0.3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row>
    <row r="146" spans="1:83" x14ac:dyDescent="0.3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row>
    <row r="147" spans="1:83" x14ac:dyDescent="0.3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row>
    <row r="148" spans="1:83" x14ac:dyDescent="0.3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row>
    <row r="149" spans="1:83" x14ac:dyDescent="0.3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row>
    <row r="150" spans="1:83" x14ac:dyDescent="0.3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row>
    <row r="151" spans="1:83" x14ac:dyDescent="0.3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row>
    <row r="152" spans="1:83" x14ac:dyDescent="0.3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row>
    <row r="153" spans="1:83" x14ac:dyDescent="0.3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row>
    <row r="154" spans="1:83" x14ac:dyDescent="0.3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row>
    <row r="155" spans="1:83" x14ac:dyDescent="0.3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row>
    <row r="156" spans="1:83" x14ac:dyDescent="0.3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row>
    <row r="157" spans="1:83" x14ac:dyDescent="0.3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row>
    <row r="158" spans="1:83" x14ac:dyDescent="0.3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row>
    <row r="159" spans="1:83" x14ac:dyDescent="0.3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x14ac:dyDescent="0.3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x14ac:dyDescent="0.3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row>
    <row r="162" spans="1:83" x14ac:dyDescent="0.3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3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row>
    <row r="164" spans="1:83" x14ac:dyDescent="0.3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row>
    <row r="165" spans="1:83" x14ac:dyDescent="0.3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row>
    <row r="166" spans="1:83" x14ac:dyDescent="0.3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row>
    <row r="167" spans="1:83" x14ac:dyDescent="0.3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row>
    <row r="168" spans="1:83" x14ac:dyDescent="0.3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row>
    <row r="169" spans="1:83" x14ac:dyDescent="0.3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row>
    <row r="170" spans="1:83" x14ac:dyDescent="0.3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x14ac:dyDescent="0.3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row>
    <row r="172" spans="1:83" x14ac:dyDescent="0.3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row>
    <row r="173" spans="1:83" x14ac:dyDescent="0.3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row>
    <row r="174" spans="1:83" x14ac:dyDescent="0.3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row>
    <row r="175" spans="1:83" x14ac:dyDescent="0.3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row>
    <row r="176" spans="1:83" x14ac:dyDescent="0.3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row>
    <row r="177" spans="1:83" x14ac:dyDescent="0.3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row>
    <row r="178" spans="1:83" x14ac:dyDescent="0.3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row>
    <row r="179" spans="1:83" x14ac:dyDescent="0.3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row>
    <row r="180" spans="1:83" x14ac:dyDescent="0.3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row>
    <row r="181" spans="1:83" x14ac:dyDescent="0.3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row>
    <row r="182" spans="1:83" x14ac:dyDescent="0.3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row>
    <row r="183" spans="1:83" x14ac:dyDescent="0.3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row>
    <row r="184" spans="1:83" x14ac:dyDescent="0.3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row>
    <row r="185" spans="1:83" x14ac:dyDescent="0.3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row>
    <row r="186" spans="1:83" x14ac:dyDescent="0.3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row>
    <row r="187" spans="1:83" x14ac:dyDescent="0.3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row>
    <row r="188" spans="1:83" x14ac:dyDescent="0.3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row>
    <row r="189" spans="1:83" x14ac:dyDescent="0.3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row>
    <row r="190" spans="1:83" x14ac:dyDescent="0.3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row>
    <row r="191" spans="1:83" x14ac:dyDescent="0.3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row>
    <row r="192" spans="1:83" x14ac:dyDescent="0.3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row>
    <row r="193" spans="2:83" x14ac:dyDescent="0.3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row>
    <row r="194" spans="2:83" x14ac:dyDescent="0.3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row>
    <row r="195" spans="2:83" x14ac:dyDescent="0.3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row>
    <row r="196" spans="2:83" x14ac:dyDescent="0.3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row>
    <row r="197" spans="2:83" x14ac:dyDescent="0.35">
      <c r="B197" s="56"/>
      <c r="C197" s="56"/>
      <c r="D197" s="56"/>
      <c r="E197" s="56"/>
      <c r="F197" s="56"/>
      <c r="G197" s="56"/>
      <c r="H197" s="56"/>
      <c r="I197" s="56"/>
      <c r="BI197" s="56"/>
      <c r="BJ197" s="56"/>
      <c r="BK197" s="56"/>
      <c r="BL197" s="56"/>
      <c r="BM197" s="56"/>
      <c r="BN197" s="56"/>
    </row>
    <row r="198" spans="2:83" x14ac:dyDescent="0.35">
      <c r="B198" s="56"/>
      <c r="C198" s="56"/>
      <c r="D198" s="56"/>
      <c r="E198" s="56"/>
      <c r="F198" s="56"/>
      <c r="G198" s="56"/>
      <c r="H198" s="56"/>
      <c r="I198" s="56"/>
      <c r="BI198" s="56"/>
      <c r="BJ198" s="56"/>
      <c r="BK198" s="56"/>
      <c r="BL198" s="56"/>
      <c r="BM198" s="56"/>
      <c r="BN198" s="56"/>
    </row>
    <row r="199" spans="2:83" x14ac:dyDescent="0.35">
      <c r="B199" s="56"/>
      <c r="C199" s="56"/>
      <c r="D199" s="56"/>
      <c r="E199" s="56"/>
      <c r="F199" s="56"/>
      <c r="G199" s="56"/>
      <c r="H199" s="56"/>
      <c r="I199" s="56"/>
      <c r="BI199" s="56"/>
      <c r="BJ199" s="56"/>
      <c r="BK199" s="56"/>
      <c r="BL199" s="56"/>
      <c r="BM199" s="56"/>
      <c r="BN199" s="56"/>
    </row>
    <row r="200" spans="2:83" x14ac:dyDescent="0.35">
      <c r="B200" s="56"/>
      <c r="C200" s="56"/>
      <c r="D200" s="56"/>
      <c r="E200" s="56"/>
      <c r="F200" s="56"/>
      <c r="G200" s="56"/>
      <c r="H200" s="56"/>
      <c r="I200" s="56"/>
      <c r="BI200" s="56"/>
      <c r="BJ200" s="56"/>
      <c r="BK200" s="56"/>
      <c r="BL200" s="56"/>
      <c r="BM200" s="56"/>
      <c r="BN200" s="56"/>
    </row>
    <row r="201" spans="2:83" x14ac:dyDescent="0.35">
      <c r="BI201" s="56"/>
      <c r="BJ201" s="56"/>
      <c r="BK201" s="56"/>
      <c r="BL201" s="56"/>
      <c r="BM201" s="56"/>
      <c r="BN201" s="56"/>
    </row>
    <row r="202" spans="2:83" x14ac:dyDescent="0.35">
      <c r="BI202" s="56"/>
      <c r="BJ202" s="56"/>
      <c r="BK202" s="56"/>
      <c r="BL202" s="56"/>
      <c r="BM202" s="56"/>
      <c r="BN202" s="56"/>
    </row>
    <row r="203" spans="2:83" x14ac:dyDescent="0.35">
      <c r="BI203" s="56"/>
      <c r="BJ203" s="56"/>
      <c r="BK203" s="56"/>
      <c r="BL203" s="56"/>
      <c r="BM203" s="56"/>
      <c r="BN203" s="56"/>
    </row>
    <row r="204" spans="2:83" x14ac:dyDescent="0.35">
      <c r="BI204" s="56"/>
      <c r="BJ204" s="56"/>
      <c r="BK204" s="56"/>
      <c r="BL204" s="56"/>
      <c r="BM204" s="56"/>
      <c r="BN204" s="56"/>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56"/>
      <c r="B1" s="538" t="s">
        <v>49</v>
      </c>
      <c r="C1" s="538"/>
      <c r="D1" s="538"/>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7" x14ac:dyDescent="0.3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7" ht="25" x14ac:dyDescent="0.35">
      <c r="A3" s="56"/>
      <c r="B3" s="7"/>
      <c r="C3" s="8" t="s">
        <v>46</v>
      </c>
      <c r="D3" s="8"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7" ht="50" x14ac:dyDescent="0.35">
      <c r="A4" s="56"/>
      <c r="B4" s="9" t="s">
        <v>45</v>
      </c>
      <c r="C4" s="10" t="s">
        <v>93</v>
      </c>
      <c r="D4" s="11">
        <v>0.2</v>
      </c>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7" ht="50" x14ac:dyDescent="0.35">
      <c r="A5" s="56"/>
      <c r="B5" s="12" t="s">
        <v>47</v>
      </c>
      <c r="C5" s="13" t="s">
        <v>94</v>
      </c>
      <c r="D5" s="14">
        <v>0.4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7" ht="50" x14ac:dyDescent="0.35">
      <c r="A6" s="56"/>
      <c r="B6" s="15" t="s">
        <v>98</v>
      </c>
      <c r="C6" s="13" t="s">
        <v>95</v>
      </c>
      <c r="D6" s="14">
        <v>0.6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7" ht="75" x14ac:dyDescent="0.35">
      <c r="A7" s="56"/>
      <c r="B7" s="16" t="s">
        <v>6</v>
      </c>
      <c r="C7" s="13" t="s">
        <v>96</v>
      </c>
      <c r="D7" s="14">
        <v>0.8</v>
      </c>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7" ht="50" x14ac:dyDescent="0.35">
      <c r="A8" s="56"/>
      <c r="B8" s="17" t="s">
        <v>48</v>
      </c>
      <c r="C8" s="13" t="s">
        <v>97</v>
      </c>
      <c r="D8" s="14">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37" x14ac:dyDescent="0.35">
      <c r="A9" s="56"/>
      <c r="B9" s="80"/>
      <c r="C9" s="80"/>
      <c r="D9" s="80"/>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x14ac:dyDescent="0.35">
      <c r="A10" s="56"/>
      <c r="B10" s="81"/>
      <c r="C10" s="80"/>
      <c r="D10" s="80"/>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x14ac:dyDescent="0.35">
      <c r="A11" s="56"/>
      <c r="B11" s="80"/>
      <c r="C11" s="80"/>
      <c r="D11" s="80"/>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x14ac:dyDescent="0.35">
      <c r="A12" s="56"/>
      <c r="B12" s="80"/>
      <c r="C12" s="80"/>
      <c r="D12" s="80"/>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x14ac:dyDescent="0.35">
      <c r="A13" s="56"/>
      <c r="B13" s="80"/>
      <c r="C13" s="80"/>
      <c r="D13" s="80"/>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x14ac:dyDescent="0.35">
      <c r="A14" s="56"/>
      <c r="B14" s="80"/>
      <c r="C14" s="80"/>
      <c r="D14" s="80"/>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x14ac:dyDescent="0.35">
      <c r="A15" s="56"/>
      <c r="B15" s="80"/>
      <c r="C15" s="80"/>
      <c r="D15" s="8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x14ac:dyDescent="0.35">
      <c r="A16" s="56"/>
      <c r="B16" s="80"/>
      <c r="C16" s="80"/>
      <c r="D16" s="8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x14ac:dyDescent="0.35">
      <c r="A17" s="56"/>
      <c r="B17" s="80"/>
      <c r="C17" s="80"/>
      <c r="D17" s="8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x14ac:dyDescent="0.35">
      <c r="A18" s="56"/>
      <c r="B18" s="80"/>
      <c r="C18" s="80"/>
      <c r="D18" s="8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x14ac:dyDescent="0.3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x14ac:dyDescent="0.3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x14ac:dyDescent="0.3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x14ac:dyDescent="0.3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7" x14ac:dyDescent="0.3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x14ac:dyDescent="0.3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x14ac:dyDescent="0.3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7" x14ac:dyDescent="0.3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7" x14ac:dyDescent="0.3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7" x14ac:dyDescent="0.3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x14ac:dyDescent="0.3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x14ac:dyDescent="0.3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7" x14ac:dyDescent="0.3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7" x14ac:dyDescent="0.3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1" x14ac:dyDescent="0.35">
      <c r="A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x14ac:dyDescent="0.35">
      <c r="A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x14ac:dyDescent="0.35">
      <c r="A35" s="56"/>
    </row>
    <row r="36" spans="1:31" x14ac:dyDescent="0.35">
      <c r="A36" s="56"/>
    </row>
    <row r="37" spans="1:31" x14ac:dyDescent="0.35">
      <c r="A37" s="56"/>
    </row>
    <row r="38" spans="1:31" x14ac:dyDescent="0.35">
      <c r="A38" s="56"/>
    </row>
    <row r="39" spans="1:31" x14ac:dyDescent="0.35">
      <c r="A39" s="56"/>
    </row>
    <row r="40" spans="1:31" x14ac:dyDescent="0.35">
      <c r="A40" s="56"/>
    </row>
    <row r="41" spans="1:31" x14ac:dyDescent="0.35">
      <c r="A41" s="56"/>
    </row>
    <row r="42" spans="1:31" x14ac:dyDescent="0.35">
      <c r="A42" s="56"/>
    </row>
    <row r="43" spans="1:31" x14ac:dyDescent="0.35">
      <c r="A43" s="56"/>
    </row>
    <row r="44" spans="1:31" x14ac:dyDescent="0.35">
      <c r="A44" s="56"/>
    </row>
    <row r="45" spans="1:31" x14ac:dyDescent="0.35">
      <c r="A45" s="56"/>
    </row>
    <row r="46" spans="1:31" x14ac:dyDescent="0.35">
      <c r="A46" s="56"/>
    </row>
    <row r="47" spans="1:31" x14ac:dyDescent="0.35">
      <c r="A47" s="56"/>
    </row>
    <row r="48" spans="1:31" x14ac:dyDescent="0.35">
      <c r="A48" s="56"/>
    </row>
    <row r="49" spans="1:1" x14ac:dyDescent="0.35">
      <c r="A49" s="56"/>
    </row>
    <row r="50" spans="1:1" x14ac:dyDescent="0.35">
      <c r="A50" s="56"/>
    </row>
    <row r="51" spans="1:1" x14ac:dyDescent="0.35">
      <c r="A51" s="56"/>
    </row>
    <row r="52" spans="1:1" x14ac:dyDescent="0.35">
      <c r="A52" s="56"/>
    </row>
    <row r="53" spans="1:1" x14ac:dyDescent="0.35">
      <c r="A53" s="56"/>
    </row>
    <row r="54" spans="1:1" x14ac:dyDescent="0.35">
      <c r="A54" s="56"/>
    </row>
    <row r="55" spans="1:1" x14ac:dyDescent="0.35">
      <c r="A55" s="5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56"/>
      <c r="B1" s="539" t="s">
        <v>57</v>
      </c>
      <c r="C1" s="539"/>
      <c r="D1" s="539"/>
      <c r="E1" s="56"/>
      <c r="F1" s="56"/>
      <c r="G1" s="56"/>
      <c r="H1" s="56"/>
      <c r="I1" s="56"/>
      <c r="J1" s="56"/>
      <c r="K1" s="56"/>
      <c r="L1" s="56"/>
      <c r="M1" s="56"/>
      <c r="N1" s="56"/>
      <c r="O1" s="56"/>
      <c r="P1" s="56"/>
      <c r="Q1" s="56"/>
      <c r="R1" s="56"/>
      <c r="S1" s="56"/>
      <c r="T1" s="56"/>
      <c r="U1" s="56"/>
    </row>
    <row r="2" spans="1:21" x14ac:dyDescent="0.35">
      <c r="A2" s="56"/>
      <c r="B2" s="56"/>
      <c r="C2" s="56"/>
      <c r="D2" s="56"/>
      <c r="E2" s="56"/>
      <c r="F2" s="56"/>
      <c r="G2" s="56"/>
      <c r="H2" s="56"/>
      <c r="I2" s="56"/>
      <c r="J2" s="56"/>
      <c r="K2" s="56"/>
      <c r="L2" s="56"/>
      <c r="M2" s="56"/>
      <c r="N2" s="56"/>
      <c r="O2" s="56"/>
      <c r="P2" s="56"/>
      <c r="Q2" s="56"/>
      <c r="R2" s="56"/>
      <c r="S2" s="56"/>
      <c r="T2" s="56"/>
      <c r="U2" s="56"/>
    </row>
    <row r="3" spans="1:21" ht="30.5" x14ac:dyDescent="0.35">
      <c r="A3" s="56"/>
      <c r="B3" s="77"/>
      <c r="C3" s="30" t="s">
        <v>50</v>
      </c>
      <c r="D3" s="30" t="s">
        <v>51</v>
      </c>
      <c r="E3" s="56"/>
      <c r="F3" s="56"/>
      <c r="G3" s="56"/>
      <c r="H3" s="56"/>
      <c r="I3" s="56"/>
      <c r="J3" s="56"/>
      <c r="K3" s="56"/>
      <c r="L3" s="56"/>
      <c r="M3" s="56"/>
      <c r="N3" s="56"/>
      <c r="O3" s="56"/>
      <c r="P3" s="56"/>
      <c r="Q3" s="56"/>
      <c r="R3" s="56"/>
      <c r="S3" s="56"/>
      <c r="T3" s="56"/>
      <c r="U3" s="56"/>
    </row>
    <row r="4" spans="1:21" ht="32.5" x14ac:dyDescent="0.35">
      <c r="A4" s="76" t="s">
        <v>77</v>
      </c>
      <c r="B4" s="33" t="s">
        <v>92</v>
      </c>
      <c r="C4" s="38" t="s">
        <v>132</v>
      </c>
      <c r="D4" s="31" t="s">
        <v>90</v>
      </c>
      <c r="E4" s="56"/>
      <c r="F4" s="56"/>
      <c r="G4" s="56"/>
      <c r="H4" s="56"/>
      <c r="I4" s="56"/>
      <c r="J4" s="56"/>
      <c r="K4" s="56"/>
      <c r="L4" s="56"/>
      <c r="M4" s="56"/>
      <c r="N4" s="56"/>
      <c r="O4" s="56"/>
      <c r="P4" s="56"/>
      <c r="Q4" s="56"/>
      <c r="R4" s="56"/>
      <c r="S4" s="56"/>
      <c r="T4" s="56"/>
      <c r="U4" s="56"/>
    </row>
    <row r="5" spans="1:21" ht="65" x14ac:dyDescent="0.35">
      <c r="A5" s="76" t="s">
        <v>78</v>
      </c>
      <c r="B5" s="34" t="s">
        <v>53</v>
      </c>
      <c r="C5" s="39" t="s">
        <v>86</v>
      </c>
      <c r="D5" s="32" t="s">
        <v>489</v>
      </c>
      <c r="E5" s="56"/>
      <c r="F5" s="56"/>
      <c r="G5" s="56"/>
      <c r="H5" s="56"/>
      <c r="I5" s="56"/>
      <c r="J5" s="56"/>
      <c r="K5" s="56"/>
      <c r="L5" s="56"/>
      <c r="M5" s="56"/>
      <c r="N5" s="56"/>
      <c r="O5" s="56"/>
      <c r="P5" s="56"/>
      <c r="Q5" s="56"/>
      <c r="R5" s="56"/>
      <c r="S5" s="56"/>
      <c r="T5" s="56"/>
      <c r="U5" s="56"/>
    </row>
    <row r="6" spans="1:21" ht="65" x14ac:dyDescent="0.35">
      <c r="A6" s="76" t="s">
        <v>75</v>
      </c>
      <c r="B6" s="35" t="s">
        <v>54</v>
      </c>
      <c r="C6" s="39" t="s">
        <v>87</v>
      </c>
      <c r="D6" s="32" t="s">
        <v>91</v>
      </c>
      <c r="E6" s="56"/>
      <c r="F6" s="56"/>
      <c r="G6" s="56"/>
      <c r="H6" s="56"/>
      <c r="I6" s="56"/>
      <c r="J6" s="56"/>
      <c r="K6" s="56"/>
      <c r="L6" s="56"/>
      <c r="M6" s="56"/>
      <c r="N6" s="56"/>
      <c r="O6" s="56"/>
      <c r="P6" s="56"/>
      <c r="Q6" s="56"/>
      <c r="R6" s="56"/>
      <c r="S6" s="56"/>
      <c r="T6" s="56"/>
      <c r="U6" s="56"/>
    </row>
    <row r="7" spans="1:21" ht="65" x14ac:dyDescent="0.35">
      <c r="A7" s="76" t="s">
        <v>7</v>
      </c>
      <c r="B7" s="36" t="s">
        <v>55</v>
      </c>
      <c r="C7" s="39" t="s">
        <v>88</v>
      </c>
      <c r="D7" s="32" t="s">
        <v>491</v>
      </c>
      <c r="E7" s="56"/>
      <c r="F7" s="56"/>
      <c r="G7" s="56"/>
      <c r="H7" s="56"/>
      <c r="I7" s="56"/>
      <c r="J7" s="56"/>
      <c r="K7" s="56"/>
      <c r="L7" s="56"/>
      <c r="M7" s="56"/>
      <c r="N7" s="56"/>
      <c r="O7" s="56"/>
      <c r="P7" s="56"/>
      <c r="Q7" s="56"/>
      <c r="R7" s="56"/>
      <c r="S7" s="56"/>
      <c r="T7" s="56"/>
      <c r="U7" s="56"/>
    </row>
    <row r="8" spans="1:21" ht="65" x14ac:dyDescent="0.35">
      <c r="A8" s="76" t="s">
        <v>79</v>
      </c>
      <c r="B8" s="37" t="s">
        <v>56</v>
      </c>
      <c r="C8" s="39" t="s">
        <v>89</v>
      </c>
      <c r="D8" s="32" t="s">
        <v>109</v>
      </c>
      <c r="E8" s="56"/>
      <c r="F8" s="56"/>
      <c r="G8" s="56"/>
      <c r="H8" s="56"/>
      <c r="I8" s="56"/>
      <c r="J8" s="56"/>
      <c r="K8" s="56"/>
      <c r="L8" s="56"/>
      <c r="M8" s="56"/>
      <c r="N8" s="56"/>
      <c r="O8" s="56"/>
      <c r="P8" s="56"/>
      <c r="Q8" s="56"/>
      <c r="R8" s="56"/>
      <c r="S8" s="56"/>
      <c r="T8" s="56"/>
      <c r="U8" s="56"/>
    </row>
    <row r="9" spans="1:21" ht="20" x14ac:dyDescent="0.35">
      <c r="A9" s="76"/>
      <c r="B9" s="76"/>
      <c r="C9" s="78"/>
      <c r="D9" s="78"/>
      <c r="E9" s="56"/>
      <c r="F9" s="56"/>
      <c r="G9" s="56"/>
      <c r="H9" s="56"/>
      <c r="I9" s="56"/>
      <c r="J9" s="56"/>
      <c r="K9" s="56"/>
      <c r="L9" s="56"/>
      <c r="M9" s="56"/>
      <c r="N9" s="56"/>
      <c r="O9" s="56"/>
      <c r="P9" s="56"/>
      <c r="Q9" s="56"/>
      <c r="R9" s="56"/>
      <c r="S9" s="56"/>
      <c r="T9" s="56"/>
      <c r="U9" s="56"/>
    </row>
    <row r="10" spans="1:21" x14ac:dyDescent="0.35">
      <c r="A10" s="76"/>
      <c r="B10" s="79"/>
      <c r="C10" s="79"/>
      <c r="D10" s="79"/>
      <c r="E10" s="56"/>
      <c r="F10" s="56"/>
      <c r="G10" s="56"/>
      <c r="H10" s="56"/>
      <c r="I10" s="56"/>
      <c r="J10" s="56"/>
      <c r="K10" s="56"/>
      <c r="L10" s="56"/>
      <c r="M10" s="56"/>
      <c r="N10" s="56"/>
      <c r="O10" s="56"/>
      <c r="P10" s="56"/>
      <c r="Q10" s="56"/>
      <c r="R10" s="56"/>
      <c r="S10" s="56"/>
      <c r="T10" s="56"/>
      <c r="U10" s="56"/>
    </row>
    <row r="11" spans="1:21" x14ac:dyDescent="0.35">
      <c r="A11" s="76"/>
      <c r="B11" s="76" t="s">
        <v>84</v>
      </c>
      <c r="C11" s="76" t="s">
        <v>481</v>
      </c>
      <c r="D11" s="76" t="s">
        <v>482</v>
      </c>
      <c r="E11" s="56"/>
      <c r="F11" s="56"/>
      <c r="G11" s="56"/>
      <c r="H11" s="56"/>
      <c r="I11" s="56"/>
      <c r="J11" s="56"/>
      <c r="K11" s="56"/>
      <c r="L11" s="56"/>
      <c r="M11" s="56"/>
      <c r="N11" s="56"/>
      <c r="O11" s="56"/>
      <c r="P11" s="56"/>
      <c r="Q11" s="56"/>
      <c r="R11" s="56"/>
      <c r="S11" s="56"/>
      <c r="T11" s="56"/>
      <c r="U11" s="56"/>
    </row>
    <row r="12" spans="1:21" x14ac:dyDescent="0.35">
      <c r="A12" s="76"/>
      <c r="B12" s="76" t="s">
        <v>82</v>
      </c>
      <c r="C12" s="76" t="s">
        <v>483</v>
      </c>
      <c r="D12" s="76" t="s">
        <v>490</v>
      </c>
      <c r="E12" s="56"/>
      <c r="F12" s="56"/>
      <c r="G12" s="56"/>
      <c r="H12" s="56"/>
      <c r="I12" s="56"/>
      <c r="J12" s="56"/>
      <c r="K12" s="56"/>
      <c r="L12" s="56"/>
      <c r="M12" s="56"/>
      <c r="N12" s="56"/>
      <c r="O12" s="56"/>
      <c r="P12" s="56"/>
      <c r="Q12" s="56"/>
      <c r="R12" s="56"/>
      <c r="S12" s="56"/>
      <c r="T12" s="56"/>
      <c r="U12" s="56"/>
    </row>
    <row r="13" spans="1:21" x14ac:dyDescent="0.35">
      <c r="A13" s="76"/>
      <c r="B13" s="76"/>
      <c r="C13" s="76" t="s">
        <v>484</v>
      </c>
      <c r="D13" s="76" t="s">
        <v>485</v>
      </c>
      <c r="E13" s="56"/>
      <c r="F13" s="56"/>
      <c r="G13" s="56"/>
      <c r="H13" s="56"/>
      <c r="I13" s="56"/>
      <c r="J13" s="56"/>
      <c r="K13" s="56"/>
      <c r="L13" s="56"/>
      <c r="M13" s="56"/>
      <c r="N13" s="56"/>
      <c r="O13" s="56"/>
      <c r="P13" s="56"/>
      <c r="Q13" s="56"/>
      <c r="R13" s="56"/>
      <c r="S13" s="56"/>
      <c r="T13" s="56"/>
      <c r="U13" s="56"/>
    </row>
    <row r="14" spans="1:21" x14ac:dyDescent="0.35">
      <c r="A14" s="76"/>
      <c r="B14" s="76"/>
      <c r="C14" s="76" t="s">
        <v>486</v>
      </c>
      <c r="D14" s="76" t="s">
        <v>492</v>
      </c>
      <c r="E14" s="56"/>
      <c r="F14" s="56"/>
      <c r="G14" s="56"/>
      <c r="H14" s="56"/>
      <c r="I14" s="56"/>
      <c r="J14" s="56"/>
      <c r="K14" s="56"/>
      <c r="L14" s="56"/>
      <c r="M14" s="56"/>
      <c r="N14" s="56"/>
      <c r="O14" s="56"/>
      <c r="P14" s="56"/>
      <c r="Q14" s="56"/>
      <c r="R14" s="56"/>
      <c r="S14" s="56"/>
      <c r="T14" s="56"/>
      <c r="U14" s="56"/>
    </row>
    <row r="15" spans="1:21" x14ac:dyDescent="0.35">
      <c r="A15" s="76"/>
      <c r="B15" s="76"/>
      <c r="C15" s="76" t="s">
        <v>487</v>
      </c>
      <c r="D15" s="76" t="s">
        <v>488</v>
      </c>
      <c r="E15" s="56"/>
      <c r="F15" s="56"/>
      <c r="G15" s="56"/>
      <c r="H15" s="56"/>
      <c r="I15" s="56"/>
      <c r="J15" s="56"/>
      <c r="K15" s="56"/>
      <c r="L15" s="56"/>
      <c r="M15" s="56"/>
      <c r="N15" s="56"/>
      <c r="O15" s="56"/>
      <c r="P15" s="56"/>
      <c r="Q15" s="56"/>
      <c r="R15" s="56"/>
      <c r="S15" s="56"/>
      <c r="T15" s="56"/>
      <c r="U15" s="56"/>
    </row>
    <row r="16" spans="1:21" x14ac:dyDescent="0.35">
      <c r="A16" s="76"/>
      <c r="B16" s="76"/>
      <c r="C16" s="76"/>
      <c r="D16" s="76"/>
      <c r="E16" s="56"/>
      <c r="F16" s="56"/>
      <c r="G16" s="56"/>
      <c r="H16" s="56"/>
      <c r="I16" s="56"/>
      <c r="J16" s="56"/>
      <c r="K16" s="56"/>
      <c r="L16" s="56"/>
      <c r="M16" s="56"/>
      <c r="N16" s="56"/>
      <c r="O16" s="56"/>
    </row>
    <row r="17" spans="1:15" x14ac:dyDescent="0.35">
      <c r="A17" s="76"/>
      <c r="B17" s="76"/>
      <c r="C17" s="76"/>
      <c r="D17" s="76"/>
      <c r="E17" s="56"/>
      <c r="F17" s="56"/>
      <c r="G17" s="56"/>
      <c r="H17" s="56"/>
      <c r="I17" s="56"/>
      <c r="J17" s="56"/>
      <c r="K17" s="56"/>
      <c r="L17" s="56"/>
      <c r="M17" s="56"/>
      <c r="N17" s="56"/>
      <c r="O17" s="56"/>
    </row>
    <row r="18" spans="1:15" x14ac:dyDescent="0.35">
      <c r="A18" s="76"/>
      <c r="B18" s="80"/>
      <c r="C18" s="80"/>
      <c r="D18" s="80"/>
      <c r="E18" s="56"/>
      <c r="F18" s="56"/>
      <c r="G18" s="56"/>
      <c r="H18" s="56"/>
      <c r="I18" s="56"/>
      <c r="J18" s="56"/>
      <c r="K18" s="56"/>
      <c r="L18" s="56"/>
      <c r="M18" s="56"/>
      <c r="N18" s="56"/>
      <c r="O18" s="56"/>
    </row>
    <row r="19" spans="1:15" x14ac:dyDescent="0.35">
      <c r="A19" s="76"/>
      <c r="B19" s="80"/>
      <c r="C19" s="80"/>
      <c r="D19" s="80"/>
      <c r="E19" s="56"/>
      <c r="F19" s="56"/>
      <c r="G19" s="56"/>
      <c r="H19" s="56"/>
      <c r="I19" s="56"/>
      <c r="J19" s="56"/>
      <c r="K19" s="56"/>
      <c r="L19" s="56"/>
      <c r="M19" s="56"/>
      <c r="N19" s="56"/>
      <c r="O19" s="56"/>
    </row>
    <row r="20" spans="1:15" x14ac:dyDescent="0.35">
      <c r="A20" s="76"/>
      <c r="B20" s="80"/>
      <c r="C20" s="80"/>
      <c r="D20" s="80"/>
      <c r="E20" s="56"/>
      <c r="F20" s="56"/>
      <c r="G20" s="56"/>
      <c r="H20" s="56"/>
      <c r="I20" s="56"/>
      <c r="J20" s="56"/>
      <c r="K20" s="56"/>
      <c r="L20" s="56"/>
      <c r="M20" s="56"/>
      <c r="N20" s="56"/>
      <c r="O20" s="56"/>
    </row>
    <row r="21" spans="1:15" x14ac:dyDescent="0.35">
      <c r="A21" s="76"/>
      <c r="B21" s="80"/>
      <c r="C21" s="80"/>
      <c r="D21" s="80"/>
      <c r="E21" s="56"/>
      <c r="F21" s="56"/>
      <c r="G21" s="56"/>
      <c r="H21" s="56"/>
      <c r="I21" s="56"/>
      <c r="J21" s="56"/>
      <c r="K21" s="56"/>
      <c r="L21" s="56"/>
      <c r="M21" s="56"/>
      <c r="N21" s="56"/>
      <c r="O21" s="56"/>
    </row>
    <row r="22" spans="1:15" ht="20" x14ac:dyDescent="0.35">
      <c r="A22" s="76"/>
      <c r="B22" s="76"/>
      <c r="C22" s="78"/>
      <c r="D22" s="78"/>
      <c r="E22" s="56"/>
      <c r="F22" s="56"/>
      <c r="G22" s="56"/>
      <c r="H22" s="56"/>
      <c r="I22" s="56"/>
      <c r="J22" s="56"/>
      <c r="K22" s="56"/>
      <c r="L22" s="56"/>
      <c r="M22" s="56"/>
      <c r="N22" s="56"/>
      <c r="O22" s="56"/>
    </row>
    <row r="23" spans="1:15" ht="20" x14ac:dyDescent="0.35">
      <c r="A23" s="76"/>
      <c r="B23" s="76"/>
      <c r="C23" s="78"/>
      <c r="D23" s="78"/>
      <c r="E23" s="56"/>
      <c r="F23" s="56"/>
      <c r="G23" s="56"/>
      <c r="H23" s="56"/>
      <c r="I23" s="56"/>
      <c r="J23" s="56"/>
      <c r="K23" s="56"/>
      <c r="L23" s="56"/>
      <c r="M23" s="56"/>
      <c r="N23" s="56"/>
      <c r="O23" s="56"/>
    </row>
    <row r="24" spans="1:15" ht="20" x14ac:dyDescent="0.35">
      <c r="A24" s="76"/>
      <c r="B24" s="76"/>
      <c r="C24" s="78"/>
      <c r="D24" s="78"/>
      <c r="E24" s="56"/>
      <c r="F24" s="56"/>
      <c r="G24" s="56"/>
      <c r="H24" s="56"/>
      <c r="I24" s="56"/>
      <c r="J24" s="56"/>
      <c r="K24" s="56"/>
      <c r="L24" s="56"/>
      <c r="M24" s="56"/>
      <c r="N24" s="56"/>
      <c r="O24" s="56"/>
    </row>
    <row r="25" spans="1:15" ht="20" x14ac:dyDescent="0.35">
      <c r="A25" s="76"/>
      <c r="B25" s="76"/>
      <c r="C25" s="78"/>
      <c r="D25" s="78"/>
      <c r="E25" s="56"/>
      <c r="F25" s="56"/>
      <c r="G25" s="56"/>
      <c r="H25" s="56"/>
      <c r="I25" s="56"/>
      <c r="J25" s="56"/>
      <c r="K25" s="56"/>
      <c r="L25" s="56"/>
      <c r="M25" s="56"/>
      <c r="N25" s="56"/>
      <c r="O25" s="56"/>
    </row>
    <row r="26" spans="1:15" ht="20" x14ac:dyDescent="0.35">
      <c r="A26" s="76"/>
      <c r="B26" s="76"/>
      <c r="C26" s="78"/>
      <c r="D26" s="78"/>
      <c r="E26" s="56"/>
      <c r="F26" s="56"/>
      <c r="G26" s="56"/>
      <c r="H26" s="56"/>
      <c r="I26" s="56"/>
      <c r="J26" s="56"/>
      <c r="K26" s="56"/>
      <c r="L26" s="56"/>
      <c r="M26" s="56"/>
      <c r="N26" s="56"/>
      <c r="O26" s="56"/>
    </row>
    <row r="27" spans="1:15" ht="20" x14ac:dyDescent="0.35">
      <c r="A27" s="76"/>
      <c r="B27" s="76"/>
      <c r="C27" s="78"/>
      <c r="D27" s="78"/>
      <c r="E27" s="56"/>
      <c r="F27" s="56"/>
      <c r="G27" s="56"/>
      <c r="H27" s="56"/>
      <c r="I27" s="56"/>
      <c r="J27" s="56"/>
      <c r="K27" s="56"/>
      <c r="L27" s="56"/>
      <c r="M27" s="56"/>
      <c r="N27" s="56"/>
      <c r="O27" s="56"/>
    </row>
    <row r="28" spans="1:15" ht="20" x14ac:dyDescent="0.35">
      <c r="A28" s="76"/>
      <c r="B28" s="76"/>
      <c r="C28" s="78"/>
      <c r="D28" s="78"/>
      <c r="E28" s="56"/>
      <c r="F28" s="56"/>
      <c r="G28" s="56"/>
      <c r="H28" s="56"/>
      <c r="I28" s="56"/>
      <c r="J28" s="56"/>
      <c r="K28" s="56"/>
      <c r="L28" s="56"/>
      <c r="M28" s="56"/>
      <c r="N28" s="56"/>
      <c r="O28" s="56"/>
    </row>
    <row r="29" spans="1:15" ht="20" x14ac:dyDescent="0.35">
      <c r="A29" s="76"/>
      <c r="B29" s="76"/>
      <c r="C29" s="78"/>
      <c r="D29" s="78"/>
      <c r="E29" s="56"/>
      <c r="F29" s="56"/>
      <c r="G29" s="56"/>
      <c r="H29" s="56"/>
      <c r="I29" s="56"/>
      <c r="J29" s="56"/>
      <c r="K29" s="56"/>
      <c r="L29" s="56"/>
      <c r="M29" s="56"/>
      <c r="N29" s="56"/>
      <c r="O29" s="56"/>
    </row>
    <row r="30" spans="1:15" ht="20" x14ac:dyDescent="0.35">
      <c r="A30" s="76"/>
      <c r="B30" s="76"/>
      <c r="C30" s="78"/>
      <c r="D30" s="78"/>
      <c r="E30" s="56"/>
      <c r="F30" s="56"/>
      <c r="G30" s="56"/>
      <c r="H30" s="56"/>
      <c r="I30" s="56"/>
      <c r="J30" s="56"/>
      <c r="K30" s="56"/>
      <c r="L30" s="56"/>
      <c r="M30" s="56"/>
      <c r="N30" s="56"/>
      <c r="O30" s="56"/>
    </row>
    <row r="31" spans="1:15" ht="20" x14ac:dyDescent="0.35">
      <c r="A31" s="76"/>
      <c r="B31" s="76"/>
      <c r="C31" s="78"/>
      <c r="D31" s="78"/>
      <c r="E31" s="56"/>
      <c r="F31" s="56"/>
      <c r="G31" s="56"/>
      <c r="H31" s="56"/>
      <c r="I31" s="56"/>
      <c r="J31" s="56"/>
      <c r="K31" s="56"/>
      <c r="L31" s="56"/>
      <c r="M31" s="56"/>
      <c r="N31" s="56"/>
      <c r="O31" s="56"/>
    </row>
    <row r="32" spans="1:15" ht="20" x14ac:dyDescent="0.35">
      <c r="A32" s="76"/>
      <c r="B32" s="76"/>
      <c r="C32" s="78"/>
      <c r="D32" s="78"/>
      <c r="E32" s="56"/>
      <c r="F32" s="56"/>
      <c r="G32" s="56"/>
      <c r="H32" s="56"/>
      <c r="I32" s="56"/>
      <c r="J32" s="56"/>
      <c r="K32" s="56"/>
      <c r="L32" s="56"/>
      <c r="M32" s="56"/>
      <c r="N32" s="56"/>
      <c r="O32" s="56"/>
    </row>
    <row r="33" spans="1:15" ht="20" x14ac:dyDescent="0.35">
      <c r="A33" s="76"/>
      <c r="B33" s="76"/>
      <c r="C33" s="78"/>
      <c r="D33" s="78"/>
      <c r="E33" s="56"/>
      <c r="F33" s="56"/>
      <c r="G33" s="56"/>
      <c r="H33" s="56"/>
      <c r="I33" s="56"/>
      <c r="J33" s="56"/>
      <c r="K33" s="56"/>
      <c r="L33" s="56"/>
      <c r="M33" s="56"/>
      <c r="N33" s="56"/>
      <c r="O33" s="56"/>
    </row>
    <row r="34" spans="1:15" ht="20" x14ac:dyDescent="0.35">
      <c r="A34" s="76"/>
      <c r="B34" s="76"/>
      <c r="C34" s="78"/>
      <c r="D34" s="78"/>
      <c r="E34" s="56"/>
      <c r="F34" s="56"/>
      <c r="G34" s="56"/>
      <c r="H34" s="56"/>
      <c r="I34" s="56"/>
      <c r="J34" s="56"/>
      <c r="K34" s="56"/>
      <c r="L34" s="56"/>
      <c r="M34" s="56"/>
      <c r="N34" s="56"/>
      <c r="O34" s="56"/>
    </row>
    <row r="35" spans="1:15" ht="20" x14ac:dyDescent="0.35">
      <c r="A35" s="76"/>
      <c r="B35" s="76"/>
      <c r="C35" s="78"/>
      <c r="D35" s="78"/>
      <c r="E35" s="56"/>
      <c r="F35" s="56"/>
      <c r="G35" s="56"/>
      <c r="H35" s="56"/>
      <c r="I35" s="56"/>
      <c r="J35" s="56"/>
      <c r="K35" s="56"/>
      <c r="L35" s="56"/>
      <c r="M35" s="56"/>
      <c r="N35" s="56"/>
      <c r="O35" s="56"/>
    </row>
    <row r="36" spans="1:15" ht="20" x14ac:dyDescent="0.35">
      <c r="A36" s="76"/>
      <c r="B36" s="76"/>
      <c r="C36" s="78"/>
      <c r="D36" s="78"/>
      <c r="E36" s="56"/>
      <c r="F36" s="56"/>
      <c r="G36" s="56"/>
      <c r="H36" s="56"/>
      <c r="I36" s="56"/>
      <c r="J36" s="56"/>
      <c r="K36" s="56"/>
      <c r="L36" s="56"/>
      <c r="M36" s="56"/>
      <c r="N36" s="56"/>
      <c r="O36" s="56"/>
    </row>
    <row r="37" spans="1:15" ht="20" x14ac:dyDescent="0.35">
      <c r="A37" s="76"/>
      <c r="B37" s="76"/>
      <c r="C37" s="78"/>
      <c r="D37" s="78"/>
      <c r="E37" s="56"/>
      <c r="F37" s="56"/>
      <c r="G37" s="56"/>
      <c r="H37" s="56"/>
      <c r="I37" s="56"/>
      <c r="J37" s="56"/>
      <c r="K37" s="56"/>
      <c r="L37" s="56"/>
      <c r="M37" s="56"/>
      <c r="N37" s="56"/>
      <c r="O37" s="56"/>
    </row>
    <row r="38" spans="1:15" ht="20" x14ac:dyDescent="0.35">
      <c r="A38" s="76"/>
      <c r="B38" s="76"/>
      <c r="C38" s="78"/>
      <c r="D38" s="78"/>
      <c r="E38" s="56"/>
      <c r="F38" s="56"/>
      <c r="G38" s="56"/>
      <c r="H38" s="56"/>
      <c r="I38" s="56"/>
      <c r="J38" s="56"/>
      <c r="K38" s="56"/>
      <c r="L38" s="56"/>
      <c r="M38" s="56"/>
      <c r="N38" s="56"/>
      <c r="O38" s="56"/>
    </row>
    <row r="39" spans="1:15" ht="20" x14ac:dyDescent="0.35">
      <c r="A39" s="76"/>
      <c r="B39" s="76"/>
      <c r="C39" s="78"/>
      <c r="D39" s="78"/>
      <c r="E39" s="56"/>
      <c r="F39" s="56"/>
      <c r="G39" s="56"/>
      <c r="H39" s="56"/>
      <c r="I39" s="56"/>
      <c r="J39" s="56"/>
      <c r="K39" s="56"/>
      <c r="L39" s="56"/>
      <c r="M39" s="56"/>
      <c r="N39" s="56"/>
      <c r="O39" s="56"/>
    </row>
    <row r="40" spans="1:15" ht="20" x14ac:dyDescent="0.35">
      <c r="A40" s="76"/>
      <c r="B40" s="76"/>
      <c r="C40" s="78"/>
      <c r="D40" s="78"/>
      <c r="E40" s="56"/>
      <c r="F40" s="56"/>
      <c r="G40" s="56"/>
      <c r="H40" s="56"/>
      <c r="I40" s="56"/>
      <c r="J40" s="56"/>
      <c r="K40" s="56"/>
      <c r="L40" s="56"/>
      <c r="M40" s="56"/>
      <c r="N40" s="56"/>
      <c r="O40" s="56"/>
    </row>
    <row r="41" spans="1:15" ht="20" x14ac:dyDescent="0.35">
      <c r="A41" s="76"/>
      <c r="B41" s="76"/>
      <c r="C41" s="78"/>
      <c r="D41" s="78"/>
      <c r="E41" s="56"/>
      <c r="F41" s="56"/>
      <c r="G41" s="56"/>
      <c r="H41" s="56"/>
      <c r="I41" s="56"/>
      <c r="J41" s="56"/>
      <c r="K41" s="56"/>
      <c r="L41" s="56"/>
      <c r="M41" s="56"/>
      <c r="N41" s="56"/>
      <c r="O41" s="56"/>
    </row>
    <row r="42" spans="1:15" ht="20" x14ac:dyDescent="0.35">
      <c r="A42" s="76"/>
      <c r="B42" s="76"/>
      <c r="C42" s="78"/>
      <c r="D42" s="78"/>
      <c r="E42" s="56"/>
      <c r="F42" s="56"/>
      <c r="G42" s="56"/>
      <c r="H42" s="56"/>
      <c r="I42" s="56"/>
      <c r="J42" s="56"/>
      <c r="K42" s="56"/>
      <c r="L42" s="56"/>
      <c r="M42" s="56"/>
      <c r="N42" s="56"/>
      <c r="O42" s="56"/>
    </row>
    <row r="43" spans="1:15" ht="20" x14ac:dyDescent="0.35">
      <c r="A43" s="76"/>
      <c r="B43" s="76"/>
      <c r="C43" s="78"/>
      <c r="D43" s="78"/>
      <c r="E43" s="56"/>
      <c r="F43" s="56"/>
      <c r="G43" s="56"/>
      <c r="H43" s="56"/>
      <c r="I43" s="56"/>
      <c r="J43" s="56"/>
      <c r="K43" s="56"/>
      <c r="L43" s="56"/>
      <c r="M43" s="56"/>
      <c r="N43" s="56"/>
      <c r="O43" s="56"/>
    </row>
    <row r="44" spans="1:15" ht="20" x14ac:dyDescent="0.35">
      <c r="A44" s="76"/>
      <c r="B44" s="76"/>
      <c r="C44" s="78"/>
      <c r="D44" s="78"/>
      <c r="E44" s="56"/>
      <c r="F44" s="56"/>
      <c r="G44" s="56"/>
      <c r="H44" s="56"/>
      <c r="I44" s="56"/>
      <c r="J44" s="56"/>
      <c r="K44" s="56"/>
      <c r="L44" s="56"/>
      <c r="M44" s="56"/>
      <c r="N44" s="56"/>
      <c r="O44" s="56"/>
    </row>
    <row r="45" spans="1:15" ht="20" x14ac:dyDescent="0.35">
      <c r="A45" s="76"/>
      <c r="B45" s="76"/>
      <c r="C45" s="78"/>
      <c r="D45" s="78"/>
      <c r="E45" s="56"/>
      <c r="F45" s="56"/>
      <c r="G45" s="56"/>
      <c r="H45" s="56"/>
      <c r="I45" s="56"/>
      <c r="J45" s="56"/>
      <c r="K45" s="56"/>
      <c r="L45" s="56"/>
      <c r="M45" s="56"/>
      <c r="N45" s="56"/>
      <c r="O45" s="56"/>
    </row>
    <row r="46" spans="1:15" ht="20" x14ac:dyDescent="0.35">
      <c r="A46" s="76"/>
      <c r="B46" s="76"/>
      <c r="C46" s="78"/>
      <c r="D46" s="78"/>
      <c r="E46" s="56"/>
      <c r="F46" s="56"/>
      <c r="G46" s="56"/>
      <c r="H46" s="56"/>
      <c r="I46" s="56"/>
      <c r="J46" s="56"/>
      <c r="K46" s="56"/>
      <c r="L46" s="56"/>
      <c r="M46" s="56"/>
      <c r="N46" s="56"/>
      <c r="O46" s="56"/>
    </row>
    <row r="47" spans="1:15" ht="20" x14ac:dyDescent="0.35">
      <c r="A47" s="76"/>
      <c r="B47" s="76"/>
      <c r="C47" s="78"/>
      <c r="D47" s="78"/>
      <c r="E47" s="56"/>
      <c r="F47" s="56"/>
      <c r="G47" s="56"/>
      <c r="H47" s="56"/>
      <c r="I47" s="56"/>
      <c r="J47" s="56"/>
      <c r="K47" s="56"/>
      <c r="L47" s="56"/>
      <c r="M47" s="56"/>
      <c r="N47" s="56"/>
      <c r="O47" s="56"/>
    </row>
    <row r="48" spans="1:15" ht="20" x14ac:dyDescent="0.35">
      <c r="A48" s="76"/>
      <c r="B48" s="76"/>
      <c r="C48" s="78"/>
      <c r="D48" s="78"/>
      <c r="E48" s="56"/>
      <c r="F48" s="56"/>
      <c r="G48" s="56"/>
      <c r="H48" s="56"/>
      <c r="I48" s="56"/>
      <c r="J48" s="56"/>
      <c r="K48" s="56"/>
      <c r="L48" s="56"/>
      <c r="M48" s="56"/>
      <c r="N48" s="56"/>
      <c r="O48" s="56"/>
    </row>
    <row r="49" spans="1:15" ht="20" x14ac:dyDescent="0.35">
      <c r="A49" s="76"/>
      <c r="B49" s="76"/>
      <c r="C49" s="78"/>
      <c r="D49" s="78"/>
      <c r="E49" s="56"/>
      <c r="F49" s="56"/>
      <c r="G49" s="56"/>
      <c r="H49" s="56"/>
      <c r="I49" s="56"/>
      <c r="J49" s="56"/>
      <c r="K49" s="56"/>
      <c r="L49" s="56"/>
      <c r="M49" s="56"/>
      <c r="N49" s="56"/>
      <c r="O49" s="56"/>
    </row>
    <row r="50" spans="1:15" ht="20" x14ac:dyDescent="0.35">
      <c r="A50" s="76"/>
      <c r="B50" s="76"/>
      <c r="C50" s="78"/>
      <c r="D50" s="78"/>
      <c r="E50" s="56"/>
      <c r="F50" s="56"/>
      <c r="G50" s="56"/>
      <c r="H50" s="56"/>
      <c r="I50" s="56"/>
      <c r="J50" s="56"/>
      <c r="K50" s="56"/>
      <c r="L50" s="56"/>
      <c r="M50" s="56"/>
      <c r="N50" s="56"/>
      <c r="O50" s="56"/>
    </row>
    <row r="51" spans="1:15" ht="20" x14ac:dyDescent="0.35">
      <c r="A51" s="76"/>
      <c r="B51" s="76"/>
      <c r="C51" s="78"/>
      <c r="D51" s="78"/>
      <c r="E51" s="56"/>
      <c r="F51" s="56"/>
      <c r="G51" s="56"/>
      <c r="H51" s="56"/>
      <c r="I51" s="56"/>
      <c r="J51" s="56"/>
      <c r="K51" s="56"/>
      <c r="L51" s="56"/>
      <c r="M51" s="56"/>
      <c r="N51" s="56"/>
      <c r="O51" s="56"/>
    </row>
    <row r="52" spans="1:15" ht="20" x14ac:dyDescent="0.35">
      <c r="A52" s="76"/>
      <c r="B52" s="19"/>
      <c r="C52" s="28"/>
      <c r="D52" s="28"/>
    </row>
    <row r="53" spans="1:15" ht="20" x14ac:dyDescent="0.35">
      <c r="A53" s="76"/>
      <c r="B53" s="19"/>
      <c r="C53" s="28"/>
      <c r="D53" s="28"/>
    </row>
    <row r="54" spans="1:15" ht="20" x14ac:dyDescent="0.35">
      <c r="A54" s="76"/>
      <c r="B54" s="19"/>
      <c r="C54" s="28"/>
      <c r="D54" s="28"/>
    </row>
    <row r="55" spans="1:15" ht="20" x14ac:dyDescent="0.35">
      <c r="A55" s="76"/>
      <c r="B55" s="19"/>
      <c r="C55" s="28"/>
      <c r="D55" s="28"/>
    </row>
    <row r="56" spans="1:15" ht="20" x14ac:dyDescent="0.35">
      <c r="A56" s="76"/>
      <c r="B56" s="19"/>
      <c r="C56" s="28"/>
      <c r="D56" s="28"/>
    </row>
    <row r="57" spans="1:15" ht="20" x14ac:dyDescent="0.35">
      <c r="A57" s="76"/>
      <c r="B57" s="19"/>
      <c r="C57" s="28"/>
      <c r="D57" s="28"/>
    </row>
    <row r="58" spans="1:15" ht="20" x14ac:dyDescent="0.35">
      <c r="A58" s="76"/>
      <c r="B58" s="19"/>
      <c r="C58" s="28"/>
      <c r="D58" s="28"/>
    </row>
    <row r="59" spans="1:15" ht="20" x14ac:dyDescent="0.35">
      <c r="A59" s="76"/>
      <c r="B59" s="19"/>
      <c r="C59" s="28"/>
      <c r="D59" s="28"/>
    </row>
    <row r="60" spans="1:15" ht="20" x14ac:dyDescent="0.35">
      <c r="A60" s="76"/>
      <c r="B60" s="19"/>
      <c r="C60" s="28"/>
      <c r="D60" s="28"/>
    </row>
    <row r="61" spans="1:15" ht="20" x14ac:dyDescent="0.35">
      <c r="A61" s="76"/>
      <c r="B61" s="19"/>
      <c r="C61" s="28"/>
      <c r="D61" s="28"/>
    </row>
    <row r="62" spans="1:15" ht="20" x14ac:dyDescent="0.35">
      <c r="A62" s="76"/>
      <c r="B62" s="19"/>
      <c r="C62" s="28"/>
      <c r="D62" s="28"/>
    </row>
    <row r="63" spans="1:15" ht="20" x14ac:dyDescent="0.35">
      <c r="A63" s="76"/>
      <c r="B63" s="19"/>
      <c r="C63" s="28"/>
      <c r="D63" s="28"/>
    </row>
    <row r="64" spans="1:15" ht="20" x14ac:dyDescent="0.35">
      <c r="A64" s="76"/>
      <c r="B64" s="19"/>
      <c r="C64" s="28"/>
      <c r="D64" s="28"/>
    </row>
    <row r="65" spans="1:4" ht="20" x14ac:dyDescent="0.35">
      <c r="A65" s="76"/>
      <c r="B65" s="19"/>
      <c r="C65" s="28"/>
      <c r="D65" s="28"/>
    </row>
    <row r="66" spans="1:4" ht="20" x14ac:dyDescent="0.35">
      <c r="A66" s="76"/>
      <c r="B66" s="19"/>
      <c r="C66" s="28"/>
      <c r="D66" s="28"/>
    </row>
    <row r="67" spans="1:4" ht="20" x14ac:dyDescent="0.35">
      <c r="A67" s="76"/>
      <c r="B67" s="19"/>
      <c r="C67" s="28"/>
      <c r="D67" s="28"/>
    </row>
    <row r="68" spans="1:4" ht="20" x14ac:dyDescent="0.35">
      <c r="A68" s="76"/>
      <c r="B68" s="19"/>
      <c r="C68" s="28"/>
      <c r="D68" s="28"/>
    </row>
    <row r="69" spans="1:4" ht="20" x14ac:dyDescent="0.35">
      <c r="A69" s="76"/>
      <c r="B69" s="19"/>
      <c r="C69" s="28"/>
      <c r="D69" s="28"/>
    </row>
    <row r="70" spans="1:4" ht="20" x14ac:dyDescent="0.35">
      <c r="A70" s="76"/>
      <c r="B70" s="19"/>
      <c r="C70" s="28"/>
      <c r="D70" s="28"/>
    </row>
    <row r="71" spans="1:4" ht="20" x14ac:dyDescent="0.35">
      <c r="A71" s="76"/>
      <c r="B71" s="19"/>
      <c r="C71" s="28"/>
      <c r="D71" s="28"/>
    </row>
    <row r="72" spans="1:4" ht="20" x14ac:dyDescent="0.35">
      <c r="A72" s="76"/>
      <c r="B72" s="19"/>
      <c r="C72" s="28"/>
      <c r="D72" s="28"/>
    </row>
    <row r="73" spans="1:4" ht="20" x14ac:dyDescent="0.35">
      <c r="A73" s="76"/>
      <c r="B73" s="19"/>
      <c r="C73" s="28"/>
      <c r="D73" s="28"/>
    </row>
    <row r="74" spans="1:4" ht="20" x14ac:dyDescent="0.35">
      <c r="A74" s="76"/>
      <c r="B74" s="19"/>
      <c r="C74" s="28"/>
      <c r="D74" s="28"/>
    </row>
    <row r="75" spans="1:4" ht="20" x14ac:dyDescent="0.35">
      <c r="A75" s="76"/>
      <c r="B75" s="19"/>
      <c r="C75" s="28"/>
      <c r="D75" s="28"/>
    </row>
    <row r="76" spans="1:4" ht="20" x14ac:dyDescent="0.35">
      <c r="A76" s="76"/>
      <c r="B76" s="19"/>
      <c r="C76" s="28"/>
      <c r="D76" s="28"/>
    </row>
    <row r="77" spans="1:4" ht="20" x14ac:dyDescent="0.35">
      <c r="A77" s="76"/>
      <c r="B77" s="19"/>
      <c r="C77" s="28"/>
      <c r="D77" s="28"/>
    </row>
    <row r="78" spans="1:4" ht="20" x14ac:dyDescent="0.35">
      <c r="A78" s="76"/>
      <c r="B78" s="19"/>
      <c r="C78" s="28"/>
      <c r="D78" s="28"/>
    </row>
    <row r="79" spans="1:4" ht="20" x14ac:dyDescent="0.35">
      <c r="A79" s="76"/>
      <c r="B79" s="19"/>
      <c r="C79" s="28"/>
      <c r="D79" s="28"/>
    </row>
    <row r="80" spans="1:4" ht="20" x14ac:dyDescent="0.35">
      <c r="A80" s="76"/>
      <c r="B80" s="19"/>
      <c r="C80" s="28"/>
      <c r="D80" s="28"/>
    </row>
    <row r="81" spans="1:4" ht="20" x14ac:dyDescent="0.35">
      <c r="A81" s="76"/>
      <c r="B81" s="19"/>
      <c r="C81" s="28"/>
      <c r="D81" s="28"/>
    </row>
    <row r="82" spans="1:4" ht="20" x14ac:dyDescent="0.35">
      <c r="A82" s="76"/>
      <c r="B82" s="19"/>
      <c r="C82" s="28"/>
      <c r="D82" s="28"/>
    </row>
    <row r="83" spans="1:4" ht="20" x14ac:dyDescent="0.35">
      <c r="A83" s="76"/>
      <c r="B83" s="19"/>
      <c r="C83" s="28"/>
      <c r="D83" s="28"/>
    </row>
    <row r="84" spans="1:4" ht="20" x14ac:dyDescent="0.35">
      <c r="A84" s="76"/>
      <c r="B84" s="19"/>
      <c r="C84" s="28"/>
      <c r="D84" s="28"/>
    </row>
    <row r="85" spans="1:4" ht="20" x14ac:dyDescent="0.35">
      <c r="A85" s="76"/>
      <c r="B85" s="19"/>
      <c r="C85" s="28"/>
      <c r="D85" s="28"/>
    </row>
    <row r="86" spans="1:4" ht="20" x14ac:dyDescent="0.35">
      <c r="A86" s="76"/>
      <c r="B86" s="19"/>
      <c r="C86" s="28"/>
      <c r="D86" s="28"/>
    </row>
    <row r="87" spans="1:4" ht="20" x14ac:dyDescent="0.35">
      <c r="A87" s="76"/>
      <c r="B87" s="19"/>
      <c r="C87" s="28"/>
      <c r="D87" s="28"/>
    </row>
    <row r="88" spans="1:4" ht="20" x14ac:dyDescent="0.35">
      <c r="A88" s="76"/>
      <c r="B88" s="19"/>
      <c r="C88" s="28"/>
      <c r="D88" s="28"/>
    </row>
    <row r="89" spans="1:4" ht="20" x14ac:dyDescent="0.35">
      <c r="A89" s="76"/>
      <c r="B89" s="19"/>
      <c r="C89" s="28"/>
      <c r="D89" s="28"/>
    </row>
    <row r="90" spans="1:4" ht="20" x14ac:dyDescent="0.35">
      <c r="A90" s="76"/>
      <c r="B90" s="19"/>
      <c r="C90" s="28"/>
      <c r="D90" s="28"/>
    </row>
    <row r="91" spans="1:4" ht="20" x14ac:dyDescent="0.35">
      <c r="A91" s="76"/>
      <c r="B91" s="19"/>
      <c r="C91" s="28"/>
      <c r="D91" s="28"/>
    </row>
    <row r="92" spans="1:4" ht="20" x14ac:dyDescent="0.35">
      <c r="A92" s="76"/>
      <c r="B92" s="19"/>
      <c r="C92" s="28"/>
      <c r="D92" s="28"/>
    </row>
    <row r="93" spans="1:4" ht="20" x14ac:dyDescent="0.35">
      <c r="A93" s="76"/>
      <c r="B93" s="19"/>
      <c r="C93" s="28"/>
      <c r="D93" s="28"/>
    </row>
    <row r="94" spans="1:4" ht="20" x14ac:dyDescent="0.35">
      <c r="A94" s="76"/>
      <c r="B94" s="19"/>
      <c r="C94" s="28"/>
      <c r="D94" s="28"/>
    </row>
    <row r="95" spans="1:4" ht="20" x14ac:dyDescent="0.35">
      <c r="A95" s="76"/>
      <c r="B95" s="19"/>
      <c r="C95" s="28"/>
      <c r="D95" s="28"/>
    </row>
    <row r="96" spans="1:4" ht="20" x14ac:dyDescent="0.35">
      <c r="A96" s="76"/>
      <c r="B96" s="19"/>
      <c r="C96" s="28"/>
      <c r="D96" s="28"/>
    </row>
    <row r="97" spans="1:4" ht="20" x14ac:dyDescent="0.35">
      <c r="A97" s="76"/>
      <c r="B97" s="19"/>
      <c r="C97" s="28"/>
      <c r="D97" s="28"/>
    </row>
    <row r="98" spans="1:4" ht="20" x14ac:dyDescent="0.35">
      <c r="A98" s="76"/>
      <c r="B98" s="19"/>
      <c r="C98" s="28"/>
      <c r="D98" s="28"/>
    </row>
    <row r="99" spans="1:4" ht="20" x14ac:dyDescent="0.35">
      <c r="A99" s="76"/>
      <c r="B99" s="19"/>
      <c r="C99" s="28"/>
      <c r="D99" s="28"/>
    </row>
    <row r="100" spans="1:4" ht="20" x14ac:dyDescent="0.35">
      <c r="A100" s="76"/>
      <c r="B100" s="19"/>
      <c r="C100" s="28"/>
      <c r="D100" s="28"/>
    </row>
    <row r="101" spans="1:4" ht="20" x14ac:dyDescent="0.35">
      <c r="A101" s="76"/>
      <c r="B101" s="19"/>
      <c r="C101" s="28"/>
      <c r="D101" s="28"/>
    </row>
    <row r="102" spans="1:4" ht="20" x14ac:dyDescent="0.35">
      <c r="A102" s="76"/>
      <c r="B102" s="19"/>
      <c r="C102" s="28"/>
      <c r="D102" s="28"/>
    </row>
    <row r="103" spans="1:4" ht="20" x14ac:dyDescent="0.35">
      <c r="A103" s="76"/>
      <c r="B103" s="19"/>
      <c r="C103" s="28"/>
      <c r="D103" s="28"/>
    </row>
    <row r="104" spans="1:4" ht="20" x14ac:dyDescent="0.35">
      <c r="A104" s="76"/>
      <c r="B104" s="19"/>
      <c r="C104" s="28"/>
      <c r="D104" s="28"/>
    </row>
    <row r="105" spans="1:4" ht="20" x14ac:dyDescent="0.35">
      <c r="A105" s="76"/>
      <c r="B105" s="19"/>
      <c r="C105" s="28"/>
      <c r="D105" s="28"/>
    </row>
    <row r="106" spans="1:4" ht="20" x14ac:dyDescent="0.35">
      <c r="A106" s="76"/>
      <c r="B106" s="19"/>
      <c r="C106" s="28"/>
      <c r="D106" s="28"/>
    </row>
    <row r="107" spans="1:4" ht="20" x14ac:dyDescent="0.35">
      <c r="A107" s="76"/>
      <c r="B107" s="19"/>
      <c r="C107" s="28"/>
      <c r="D107" s="28"/>
    </row>
    <row r="108" spans="1:4" ht="20" x14ac:dyDescent="0.35">
      <c r="A108" s="76"/>
      <c r="B108" s="19"/>
      <c r="C108" s="28"/>
      <c r="D108" s="28"/>
    </row>
    <row r="109" spans="1:4" ht="20" x14ac:dyDescent="0.35">
      <c r="A109" s="76"/>
      <c r="B109" s="19"/>
      <c r="C109" s="28"/>
      <c r="D109" s="28"/>
    </row>
    <row r="110" spans="1:4" ht="20" x14ac:dyDescent="0.35">
      <c r="A110" s="76"/>
      <c r="B110" s="19"/>
      <c r="C110" s="28"/>
      <c r="D110" s="28"/>
    </row>
    <row r="111" spans="1:4" ht="20" x14ac:dyDescent="0.35">
      <c r="A111" s="76"/>
      <c r="B111" s="19"/>
      <c r="C111" s="28"/>
      <c r="D111" s="28"/>
    </row>
    <row r="112" spans="1:4" ht="20" x14ac:dyDescent="0.35">
      <c r="A112" s="76"/>
      <c r="B112" s="19"/>
      <c r="C112" s="28"/>
      <c r="D112" s="28"/>
    </row>
    <row r="113" spans="1:4" ht="20" x14ac:dyDescent="0.35">
      <c r="A113" s="76"/>
      <c r="B113" s="19"/>
      <c r="C113" s="28"/>
      <c r="D113" s="28"/>
    </row>
    <row r="114" spans="1:4" ht="20" x14ac:dyDescent="0.35">
      <c r="A114" s="76"/>
      <c r="B114" s="19"/>
      <c r="C114" s="28"/>
      <c r="D114" s="28"/>
    </row>
    <row r="115" spans="1:4" ht="20" x14ac:dyDescent="0.35">
      <c r="A115" s="76"/>
      <c r="B115" s="19"/>
      <c r="C115" s="28"/>
      <c r="D115" s="28"/>
    </row>
    <row r="116" spans="1:4" ht="20" x14ac:dyDescent="0.35">
      <c r="A116" s="76"/>
      <c r="B116" s="19"/>
      <c r="C116" s="28"/>
      <c r="D116" s="28"/>
    </row>
    <row r="117" spans="1:4" ht="20" x14ac:dyDescent="0.35">
      <c r="A117" s="76"/>
      <c r="B117" s="19"/>
      <c r="C117" s="28"/>
      <c r="D117" s="28"/>
    </row>
    <row r="118" spans="1:4" ht="20" x14ac:dyDescent="0.35">
      <c r="A118" s="76"/>
      <c r="B118" s="19"/>
      <c r="C118" s="28"/>
      <c r="D118" s="28"/>
    </row>
    <row r="119" spans="1:4" ht="20" x14ac:dyDescent="0.35">
      <c r="A119" s="76"/>
      <c r="B119" s="19"/>
      <c r="C119" s="28"/>
      <c r="D119" s="28"/>
    </row>
    <row r="120" spans="1:4" ht="20" x14ac:dyDescent="0.35">
      <c r="A120" s="76"/>
      <c r="B120" s="19"/>
      <c r="C120" s="28"/>
      <c r="D120" s="28"/>
    </row>
    <row r="121" spans="1:4" ht="20" x14ac:dyDescent="0.35">
      <c r="A121" s="76"/>
      <c r="B121" s="19"/>
      <c r="C121" s="28"/>
      <c r="D121" s="28"/>
    </row>
    <row r="122" spans="1:4" ht="20" x14ac:dyDescent="0.35">
      <c r="A122" s="76"/>
      <c r="B122" s="19"/>
      <c r="C122" s="28"/>
      <c r="D122" s="28"/>
    </row>
    <row r="123" spans="1:4" ht="20" x14ac:dyDescent="0.35">
      <c r="A123" s="76"/>
      <c r="B123" s="19"/>
      <c r="C123" s="28"/>
      <c r="D123" s="28"/>
    </row>
    <row r="124" spans="1:4" ht="20" x14ac:dyDescent="0.35">
      <c r="A124" s="76"/>
      <c r="B124" s="19"/>
      <c r="C124" s="28"/>
      <c r="D124" s="28"/>
    </row>
    <row r="125" spans="1:4" ht="20" x14ac:dyDescent="0.35">
      <c r="A125" s="76"/>
      <c r="B125" s="19"/>
      <c r="C125" s="28"/>
      <c r="D125" s="28"/>
    </row>
    <row r="126" spans="1:4" ht="20" x14ac:dyDescent="0.35">
      <c r="A126" s="76"/>
      <c r="B126" s="19"/>
      <c r="C126" s="28"/>
      <c r="D126" s="28"/>
    </row>
    <row r="127" spans="1:4" ht="20" x14ac:dyDescent="0.35">
      <c r="A127" s="76"/>
      <c r="B127" s="19"/>
      <c r="C127" s="28"/>
      <c r="D127" s="28"/>
    </row>
    <row r="128" spans="1:4" ht="20" x14ac:dyDescent="0.35">
      <c r="A128" s="76"/>
      <c r="B128" s="19"/>
      <c r="C128" s="28"/>
      <c r="D128" s="28"/>
    </row>
    <row r="129" spans="1:4" ht="20" x14ac:dyDescent="0.35">
      <c r="A129" s="76"/>
      <c r="B129" s="19"/>
      <c r="C129" s="28"/>
      <c r="D129" s="28"/>
    </row>
    <row r="130" spans="1:4" ht="20" x14ac:dyDescent="0.35">
      <c r="A130" s="76"/>
      <c r="B130" s="19"/>
      <c r="C130" s="28"/>
      <c r="D130" s="28"/>
    </row>
    <row r="131" spans="1:4" ht="20" x14ac:dyDescent="0.35">
      <c r="A131" s="76"/>
      <c r="B131" s="19"/>
      <c r="C131" s="28"/>
      <c r="D131" s="28"/>
    </row>
    <row r="132" spans="1:4" ht="20" x14ac:dyDescent="0.35">
      <c r="A132" s="76"/>
      <c r="B132" s="19"/>
      <c r="C132" s="28"/>
      <c r="D132" s="28"/>
    </row>
    <row r="133" spans="1:4" ht="20" x14ac:dyDescent="0.35">
      <c r="A133" s="76"/>
      <c r="B133" s="19"/>
      <c r="C133" s="28"/>
      <c r="D133" s="28"/>
    </row>
    <row r="134" spans="1:4" ht="20" x14ac:dyDescent="0.35">
      <c r="A134" s="76"/>
      <c r="B134" s="19"/>
      <c r="C134" s="28"/>
      <c r="D134" s="28"/>
    </row>
    <row r="135" spans="1:4" ht="20" x14ac:dyDescent="0.35">
      <c r="A135" s="76"/>
      <c r="B135" s="19"/>
      <c r="C135" s="28"/>
      <c r="D135" s="28"/>
    </row>
    <row r="136" spans="1:4" ht="20" x14ac:dyDescent="0.35">
      <c r="A136" s="76"/>
      <c r="B136" s="19"/>
      <c r="C136" s="28"/>
      <c r="D136" s="28"/>
    </row>
    <row r="137" spans="1:4" ht="20" x14ac:dyDescent="0.35">
      <c r="A137" s="76"/>
      <c r="B137" s="19"/>
      <c r="C137" s="28"/>
      <c r="D137" s="28"/>
    </row>
    <row r="138" spans="1:4" ht="20" x14ac:dyDescent="0.35">
      <c r="A138" s="76"/>
      <c r="B138" s="19"/>
      <c r="C138" s="28"/>
      <c r="D138" s="28"/>
    </row>
    <row r="139" spans="1:4" ht="20" x14ac:dyDescent="0.35">
      <c r="A139" s="76"/>
      <c r="B139" s="19"/>
      <c r="C139" s="28"/>
      <c r="D139" s="28"/>
    </row>
    <row r="140" spans="1:4" ht="20" x14ac:dyDescent="0.35">
      <c r="A140" s="76"/>
      <c r="B140" s="19"/>
      <c r="C140" s="28"/>
      <c r="D140" s="28"/>
    </row>
    <row r="141" spans="1:4" ht="20" x14ac:dyDescent="0.35">
      <c r="A141" s="76"/>
      <c r="B141" s="19"/>
      <c r="C141" s="28"/>
      <c r="D141" s="28"/>
    </row>
    <row r="142" spans="1:4" ht="20" x14ac:dyDescent="0.35">
      <c r="A142" s="76"/>
      <c r="B142" s="19"/>
      <c r="C142" s="28"/>
      <c r="D142" s="28"/>
    </row>
    <row r="143" spans="1:4" ht="20" x14ac:dyDescent="0.35">
      <c r="A143" s="76"/>
      <c r="B143" s="19"/>
      <c r="C143" s="28"/>
      <c r="D143" s="28"/>
    </row>
    <row r="144" spans="1:4" ht="20" x14ac:dyDescent="0.35">
      <c r="A144" s="76"/>
      <c r="B144" s="19"/>
      <c r="C144" s="28"/>
      <c r="D144" s="28"/>
    </row>
    <row r="145" spans="1:4" ht="20" x14ac:dyDescent="0.35">
      <c r="A145" s="76"/>
      <c r="B145" s="19"/>
      <c r="C145" s="28"/>
      <c r="D145" s="28"/>
    </row>
    <row r="146" spans="1:4" ht="20" x14ac:dyDescent="0.35">
      <c r="A146" s="76"/>
      <c r="B146" s="19"/>
      <c r="C146" s="28"/>
      <c r="D146" s="28"/>
    </row>
    <row r="147" spans="1:4" ht="20" x14ac:dyDescent="0.35">
      <c r="A147" s="76"/>
      <c r="B147" s="19"/>
      <c r="C147" s="28"/>
      <c r="D147" s="28"/>
    </row>
    <row r="148" spans="1:4" ht="20" x14ac:dyDescent="0.35">
      <c r="A148" s="76"/>
      <c r="B148" s="19"/>
      <c r="C148" s="28"/>
      <c r="D148" s="28"/>
    </row>
    <row r="149" spans="1:4" ht="20" x14ac:dyDescent="0.35">
      <c r="A149" s="76"/>
      <c r="B149" s="19"/>
      <c r="C149" s="28"/>
      <c r="D149" s="28"/>
    </row>
    <row r="150" spans="1:4" ht="20" x14ac:dyDescent="0.35">
      <c r="A150" s="76"/>
      <c r="B150" s="19"/>
      <c r="C150" s="28"/>
      <c r="D150" s="28"/>
    </row>
    <row r="151" spans="1:4" ht="20" x14ac:dyDescent="0.35">
      <c r="A151" s="76"/>
      <c r="B151" s="19"/>
      <c r="C151" s="28"/>
      <c r="D151" s="28"/>
    </row>
    <row r="152" spans="1:4" ht="20" x14ac:dyDescent="0.35">
      <c r="A152" s="76"/>
      <c r="B152" s="19"/>
      <c r="C152" s="28"/>
      <c r="D152" s="28"/>
    </row>
    <row r="153" spans="1:4" ht="20" x14ac:dyDescent="0.35">
      <c r="A153" s="76"/>
      <c r="B153" s="19"/>
      <c r="C153" s="28"/>
      <c r="D153" s="28"/>
    </row>
    <row r="154" spans="1:4" ht="20" x14ac:dyDescent="0.35">
      <c r="A154" s="76"/>
      <c r="B154" s="19"/>
      <c r="C154" s="28"/>
      <c r="D154" s="28"/>
    </row>
    <row r="155" spans="1:4" ht="20" x14ac:dyDescent="0.35">
      <c r="A155" s="76"/>
      <c r="B155" s="19"/>
      <c r="C155" s="28"/>
      <c r="D155" s="28"/>
    </row>
    <row r="156" spans="1:4" ht="20" x14ac:dyDescent="0.35">
      <c r="A156" s="76"/>
      <c r="B156" s="19"/>
      <c r="C156" s="28"/>
      <c r="D156" s="28"/>
    </row>
    <row r="157" spans="1:4" ht="20" x14ac:dyDescent="0.35">
      <c r="A157" s="76"/>
      <c r="B157" s="19"/>
      <c r="C157" s="28"/>
      <c r="D157" s="28"/>
    </row>
    <row r="158" spans="1:4" ht="20" x14ac:dyDescent="0.35">
      <c r="A158" s="76"/>
      <c r="B158" s="19"/>
      <c r="C158" s="28"/>
      <c r="D158" s="28"/>
    </row>
    <row r="159" spans="1:4" ht="20" x14ac:dyDescent="0.35">
      <c r="A159" s="76"/>
      <c r="B159" s="19"/>
      <c r="C159" s="28"/>
      <c r="D159" s="28"/>
    </row>
    <row r="160" spans="1:4" ht="20" x14ac:dyDescent="0.35">
      <c r="A160" s="76"/>
      <c r="B160" s="19"/>
      <c r="C160" s="28"/>
      <c r="D160" s="28"/>
    </row>
    <row r="161" spans="1:4" ht="20" x14ac:dyDescent="0.35">
      <c r="A161" s="76"/>
      <c r="B161" s="19"/>
      <c r="C161" s="28"/>
      <c r="D161" s="28"/>
    </row>
    <row r="162" spans="1:4" ht="20" x14ac:dyDescent="0.35">
      <c r="A162" s="76"/>
      <c r="B162" s="19"/>
      <c r="C162" s="28"/>
      <c r="D162" s="28"/>
    </row>
    <row r="163" spans="1:4" ht="20" x14ac:dyDescent="0.35">
      <c r="A163" s="76"/>
      <c r="B163" s="19"/>
      <c r="C163" s="28"/>
      <c r="D163" s="28"/>
    </row>
    <row r="164" spans="1:4" ht="20" x14ac:dyDescent="0.35">
      <c r="A164" s="76"/>
      <c r="B164" s="19"/>
      <c r="C164" s="28"/>
      <c r="D164" s="28"/>
    </row>
    <row r="165" spans="1:4" ht="20" x14ac:dyDescent="0.35">
      <c r="A165" s="76"/>
      <c r="B165" s="19"/>
      <c r="C165" s="28"/>
      <c r="D165" s="28"/>
    </row>
    <row r="166" spans="1:4" ht="20" x14ac:dyDescent="0.35">
      <c r="A166" s="76"/>
      <c r="B166" s="19"/>
      <c r="C166" s="28"/>
      <c r="D166" s="28"/>
    </row>
    <row r="167" spans="1:4" ht="20" x14ac:dyDescent="0.35">
      <c r="A167" s="76"/>
      <c r="B167" s="19"/>
      <c r="C167" s="28"/>
      <c r="D167" s="28"/>
    </row>
    <row r="168" spans="1:4" ht="20" x14ac:dyDescent="0.35">
      <c r="A168" s="76"/>
      <c r="B168" s="19"/>
      <c r="C168" s="28"/>
      <c r="D168" s="28"/>
    </row>
    <row r="169" spans="1:4" ht="20" x14ac:dyDescent="0.35">
      <c r="A169" s="76"/>
      <c r="B169" s="19"/>
      <c r="C169" s="28"/>
      <c r="D169" s="28"/>
    </row>
    <row r="170" spans="1:4" ht="20" x14ac:dyDescent="0.35">
      <c r="A170" s="76"/>
      <c r="B170" s="19"/>
      <c r="C170" s="28"/>
      <c r="D170" s="28"/>
    </row>
    <row r="171" spans="1:4" ht="20" x14ac:dyDescent="0.35">
      <c r="A171" s="76"/>
      <c r="B171" s="19"/>
      <c r="C171" s="28"/>
      <c r="D171" s="28"/>
    </row>
    <row r="172" spans="1:4" ht="20" x14ac:dyDescent="0.35">
      <c r="A172" s="76"/>
      <c r="B172" s="19"/>
      <c r="C172" s="28"/>
      <c r="D172" s="28"/>
    </row>
    <row r="173" spans="1:4" ht="20" x14ac:dyDescent="0.35">
      <c r="A173" s="76"/>
      <c r="B173" s="19"/>
      <c r="C173" s="28"/>
      <c r="D173" s="28"/>
    </row>
    <row r="174" spans="1:4" ht="20" x14ac:dyDescent="0.35">
      <c r="A174" s="76"/>
      <c r="B174" s="19"/>
      <c r="C174" s="28"/>
      <c r="D174" s="28"/>
    </row>
    <row r="175" spans="1:4" ht="20" x14ac:dyDescent="0.35">
      <c r="A175" s="76"/>
      <c r="B175" s="19"/>
      <c r="C175" s="28"/>
      <c r="D175" s="28"/>
    </row>
    <row r="176" spans="1:4" ht="20" x14ac:dyDescent="0.35">
      <c r="A176" s="76"/>
      <c r="B176" s="19"/>
      <c r="C176" s="28"/>
      <c r="D176" s="28"/>
    </row>
    <row r="177" spans="1:4" ht="20" x14ac:dyDescent="0.35">
      <c r="A177" s="76"/>
      <c r="B177" s="19"/>
      <c r="C177" s="28"/>
      <c r="D177" s="28"/>
    </row>
    <row r="178" spans="1:4" ht="20" x14ac:dyDescent="0.35">
      <c r="A178" s="76"/>
      <c r="B178" s="19"/>
      <c r="C178" s="28"/>
      <c r="D178" s="28"/>
    </row>
    <row r="179" spans="1:4" ht="20" x14ac:dyDescent="0.35">
      <c r="A179" s="76"/>
      <c r="B179" s="19"/>
      <c r="C179" s="28"/>
      <c r="D179" s="28"/>
    </row>
    <row r="180" spans="1:4" ht="20" x14ac:dyDescent="0.35">
      <c r="A180" s="76"/>
      <c r="B180" s="19"/>
      <c r="C180" s="28"/>
      <c r="D180" s="28"/>
    </row>
    <row r="181" spans="1:4" ht="20" x14ac:dyDescent="0.35">
      <c r="A181" s="76"/>
      <c r="B181" s="19"/>
      <c r="C181" s="28"/>
      <c r="D181" s="28"/>
    </row>
    <row r="182" spans="1:4" ht="20" x14ac:dyDescent="0.35">
      <c r="A182" s="76"/>
      <c r="B182" s="19"/>
      <c r="C182" s="28"/>
      <c r="D182" s="28"/>
    </row>
    <row r="183" spans="1:4" ht="20" x14ac:dyDescent="0.35">
      <c r="A183" s="76"/>
      <c r="B183" s="19"/>
      <c r="C183" s="28"/>
      <c r="D183" s="28"/>
    </row>
    <row r="184" spans="1:4" ht="20" x14ac:dyDescent="0.35">
      <c r="A184" s="76"/>
      <c r="B184" s="19"/>
      <c r="C184" s="28"/>
      <c r="D184" s="28"/>
    </row>
    <row r="185" spans="1:4" ht="20" x14ac:dyDescent="0.35">
      <c r="A185" s="76"/>
      <c r="B185" s="19"/>
      <c r="C185" s="28"/>
      <c r="D185" s="28"/>
    </row>
    <row r="186" spans="1:4" ht="20" x14ac:dyDescent="0.35">
      <c r="A186" s="76"/>
      <c r="B186" s="19"/>
      <c r="C186" s="28"/>
      <c r="D186" s="28"/>
    </row>
    <row r="187" spans="1:4" ht="20" x14ac:dyDescent="0.35">
      <c r="A187" s="76"/>
      <c r="B187" s="19"/>
      <c r="C187" s="28"/>
      <c r="D187" s="28"/>
    </row>
    <row r="188" spans="1:4" ht="20" x14ac:dyDescent="0.35">
      <c r="A188" s="76"/>
      <c r="B188" s="19"/>
      <c r="C188" s="28"/>
      <c r="D188" s="28"/>
    </row>
    <row r="189" spans="1:4" ht="20" x14ac:dyDescent="0.35">
      <c r="A189" s="76"/>
      <c r="B189" s="19"/>
      <c r="C189" s="28"/>
      <c r="D189" s="28"/>
    </row>
    <row r="190" spans="1:4" ht="20" x14ac:dyDescent="0.35">
      <c r="A190" s="76"/>
      <c r="B190" s="19"/>
      <c r="C190" s="28"/>
      <c r="D190" s="28"/>
    </row>
    <row r="191" spans="1:4" ht="20" x14ac:dyDescent="0.35">
      <c r="A191" s="76"/>
      <c r="B191" s="19"/>
      <c r="C191" s="28"/>
      <c r="D191" s="28"/>
    </row>
    <row r="192" spans="1:4" ht="20" x14ac:dyDescent="0.35">
      <c r="A192" s="76"/>
      <c r="B192" s="19"/>
      <c r="C192" s="28"/>
      <c r="D192" s="28"/>
    </row>
    <row r="193" spans="1:4" ht="20" x14ac:dyDescent="0.35">
      <c r="A193" s="76"/>
      <c r="B193" s="19"/>
      <c r="C193" s="28"/>
      <c r="D193" s="28"/>
    </row>
    <row r="194" spans="1:4" ht="20" x14ac:dyDescent="0.35">
      <c r="A194" s="76"/>
      <c r="B194" s="19"/>
      <c r="C194" s="28"/>
      <c r="D194" s="28"/>
    </row>
    <row r="195" spans="1:4" ht="20" x14ac:dyDescent="0.35">
      <c r="A195" s="76"/>
      <c r="B195" s="19"/>
      <c r="C195" s="28"/>
      <c r="D195" s="28"/>
    </row>
    <row r="196" spans="1:4" ht="20" x14ac:dyDescent="0.35">
      <c r="A196" s="76"/>
      <c r="B196" s="19"/>
      <c r="C196" s="28"/>
      <c r="D196" s="28"/>
    </row>
    <row r="197" spans="1:4" ht="20" x14ac:dyDescent="0.35">
      <c r="A197" s="76"/>
      <c r="B197" s="19"/>
      <c r="C197" s="28"/>
      <c r="D197" s="28"/>
    </row>
    <row r="198" spans="1:4" ht="20" x14ac:dyDescent="0.35">
      <c r="A198" s="76"/>
      <c r="B198" s="19"/>
      <c r="C198" s="28"/>
      <c r="D198" s="28"/>
    </row>
    <row r="199" spans="1:4" ht="20" x14ac:dyDescent="0.35">
      <c r="A199" s="76"/>
      <c r="B199" s="19"/>
      <c r="C199" s="28"/>
      <c r="D199" s="28"/>
    </row>
    <row r="200" spans="1:4" ht="20" x14ac:dyDescent="0.35">
      <c r="A200" s="76"/>
      <c r="B200" s="19"/>
      <c r="C200" s="28"/>
      <c r="D200" s="28"/>
    </row>
    <row r="201" spans="1:4" ht="20" x14ac:dyDescent="0.35">
      <c r="A201" s="76"/>
      <c r="B201" s="19"/>
      <c r="C201" s="28"/>
      <c r="D201" s="28"/>
    </row>
    <row r="202" spans="1:4" ht="20" x14ac:dyDescent="0.35">
      <c r="A202" s="76"/>
      <c r="B202" s="19"/>
      <c r="C202" s="28"/>
      <c r="D202" s="28"/>
    </row>
    <row r="203" spans="1:4" ht="20" x14ac:dyDescent="0.35">
      <c r="A203" s="76"/>
      <c r="B203" s="19"/>
      <c r="C203" s="28"/>
      <c r="D203" s="28"/>
    </row>
    <row r="204" spans="1:4" ht="20" x14ac:dyDescent="0.35">
      <c r="A204" s="76"/>
      <c r="B204" s="19"/>
      <c r="C204" s="28"/>
      <c r="D204" s="28"/>
    </row>
    <row r="205" spans="1:4" ht="20" x14ac:dyDescent="0.35">
      <c r="A205" s="76"/>
      <c r="B205" s="19"/>
      <c r="C205" s="28"/>
      <c r="D205" s="28"/>
    </row>
    <row r="206" spans="1:4" ht="20" x14ac:dyDescent="0.35">
      <c r="A206" s="76"/>
      <c r="B206" s="19"/>
      <c r="C206" s="28"/>
      <c r="D206" s="28"/>
    </row>
    <row r="207" spans="1:4" ht="20" x14ac:dyDescent="0.35">
      <c r="A207" s="76"/>
      <c r="B207" s="19"/>
      <c r="C207" s="28"/>
      <c r="D207" s="28"/>
    </row>
    <row r="208" spans="1:4" x14ac:dyDescent="0.35">
      <c r="A208" s="56"/>
      <c r="B208" s="19"/>
      <c r="C208" s="19"/>
      <c r="D208" s="19"/>
    </row>
    <row r="209" spans="1:8" ht="20" x14ac:dyDescent="0.35">
      <c r="A209" s="56"/>
      <c r="B209" s="24" t="s">
        <v>81</v>
      </c>
      <c r="C209" s="24" t="s">
        <v>129</v>
      </c>
      <c r="D209" s="27" t="s">
        <v>81</v>
      </c>
      <c r="E209" s="27" t="s">
        <v>129</v>
      </c>
    </row>
    <row r="210" spans="1:8" ht="21" x14ac:dyDescent="0.5">
      <c r="A210" s="56"/>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5">
      <c r="A211" s="56"/>
      <c r="B211" s="25" t="s">
        <v>83</v>
      </c>
      <c r="C211" s="25" t="s">
        <v>86</v>
      </c>
      <c r="E211" t="s">
        <v>52</v>
      </c>
      <c r="F211" t="str">
        <f t="shared" si="0"/>
        <v xml:space="preserve"> Afectación menor a 10 SMLMV .</v>
      </c>
    </row>
    <row r="212" spans="1:8" ht="21" x14ac:dyDescent="0.5">
      <c r="A212" s="56"/>
      <c r="B212" s="25" t="s">
        <v>83</v>
      </c>
      <c r="C212" s="25" t="s">
        <v>87</v>
      </c>
      <c r="E212" t="s">
        <v>86</v>
      </c>
      <c r="F212" t="str">
        <f t="shared" si="0"/>
        <v xml:space="preserve"> Entre 10 y 50 SMLMV </v>
      </c>
    </row>
    <row r="213" spans="1:8" ht="21" x14ac:dyDescent="0.5">
      <c r="A213" s="56"/>
      <c r="B213" s="25" t="s">
        <v>83</v>
      </c>
      <c r="C213" s="25" t="s">
        <v>88</v>
      </c>
      <c r="E213" t="s">
        <v>87</v>
      </c>
      <c r="F213" t="str">
        <f t="shared" si="0"/>
        <v xml:space="preserve"> Entre 50 y 100 SMLMV </v>
      </c>
    </row>
    <row r="214" spans="1:8" ht="21" x14ac:dyDescent="0.5">
      <c r="A214" s="56"/>
      <c r="B214" s="25" t="s">
        <v>83</v>
      </c>
      <c r="C214" s="25" t="s">
        <v>89</v>
      </c>
      <c r="E214" t="s">
        <v>88</v>
      </c>
      <c r="F214" t="str">
        <f t="shared" si="0"/>
        <v xml:space="preserve"> Entre 100 y 500 SMLMV </v>
      </c>
    </row>
    <row r="215" spans="1:8" ht="21" x14ac:dyDescent="0.5">
      <c r="A215" s="56"/>
      <c r="B215" s="25" t="s">
        <v>51</v>
      </c>
      <c r="C215" s="25" t="s">
        <v>90</v>
      </c>
      <c r="E215" t="s">
        <v>89</v>
      </c>
      <c r="F215" t="str">
        <f t="shared" si="0"/>
        <v xml:space="preserve"> Mayor a 500 SMLMV </v>
      </c>
    </row>
    <row r="216" spans="1:8" ht="21" x14ac:dyDescent="0.5">
      <c r="A216" s="56"/>
      <c r="B216" s="25" t="s">
        <v>51</v>
      </c>
      <c r="C216" s="25" t="s">
        <v>489</v>
      </c>
      <c r="D216" t="s">
        <v>51</v>
      </c>
      <c r="F216" t="str">
        <f t="shared" si="0"/>
        <v>Pérdida Reputacional</v>
      </c>
    </row>
    <row r="217" spans="1:8" ht="21" x14ac:dyDescent="0.5">
      <c r="A217" s="56"/>
      <c r="B217" s="25" t="s">
        <v>51</v>
      </c>
      <c r="C217" s="25" t="s">
        <v>91</v>
      </c>
      <c r="E217" t="s">
        <v>90</v>
      </c>
      <c r="F217" t="str">
        <f t="shared" si="0"/>
        <v xml:space="preserve"> El riesgo afecta la imagen de alguna área de la organización</v>
      </c>
    </row>
    <row r="218" spans="1:8" ht="21" x14ac:dyDescent="0.5">
      <c r="A218" s="56"/>
      <c r="B218" s="25" t="s">
        <v>51</v>
      </c>
      <c r="C218" s="25" t="s">
        <v>491</v>
      </c>
      <c r="E218" t="s">
        <v>489</v>
      </c>
      <c r="F218" t="str">
        <f t="shared" si="0"/>
        <v xml:space="preserve"> El riesgo afecta la imagen de la entidad internamente, de conocimiento general, nivel interno, de junta directiva y accionistas y/o de proveedores</v>
      </c>
    </row>
    <row r="219" spans="1:8" ht="21" x14ac:dyDescent="0.5">
      <c r="A219" s="56"/>
      <c r="B219" s="25" t="s">
        <v>51</v>
      </c>
      <c r="C219" s="25" t="s">
        <v>109</v>
      </c>
      <c r="E219" t="s">
        <v>91</v>
      </c>
      <c r="F219" t="str">
        <f t="shared" si="0"/>
        <v xml:space="preserve"> El riesgo afecta la imagen de la entidad con algunos usuarios de relevancia frente al logro de los objetivos</v>
      </c>
    </row>
    <row r="220" spans="1:8" x14ac:dyDescent="0.35">
      <c r="A220" s="56"/>
      <c r="B220" s="26"/>
      <c r="C220" s="26"/>
      <c r="E220" t="s">
        <v>491</v>
      </c>
      <c r="F220" t="str">
        <f t="shared" si="0"/>
        <v xml:space="preserve"> El riesgo afecta la imagen de la entidad con efecto publicitario sostenido a nivel de sector administrativo, nivel departamental o municipal</v>
      </c>
    </row>
    <row r="221" spans="1:8" x14ac:dyDescent="0.35">
      <c r="A221" s="56"/>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35">
      <c r="A222" s="56"/>
      <c r="B222" s="26" t="str">
        <v>Afectación Económica o presupuestal</v>
      </c>
      <c r="C222" s="26"/>
    </row>
    <row r="223" spans="1:8" x14ac:dyDescent="0.35">
      <c r="B223" s="26" t="str">
        <v>Pérdida Reputacional</v>
      </c>
      <c r="C223" s="26"/>
      <c r="F223" s="29" t="s">
        <v>130</v>
      </c>
    </row>
    <row r="224" spans="1:8" x14ac:dyDescent="0.35">
      <c r="B224" s="18"/>
      <c r="C224" s="18"/>
      <c r="F224" s="29" t="s">
        <v>131</v>
      </c>
    </row>
    <row r="225" spans="2:4" x14ac:dyDescent="0.35">
      <c r="B225" s="18"/>
      <c r="C225" s="18"/>
    </row>
    <row r="226" spans="2:4" x14ac:dyDescent="0.35">
      <c r="B226" s="18"/>
      <c r="C226" s="18"/>
    </row>
    <row r="227" spans="2:4" x14ac:dyDescent="0.35">
      <c r="B227" s="18"/>
      <c r="C227" s="18"/>
      <c r="D227" s="18"/>
    </row>
    <row r="228" spans="2:4" x14ac:dyDescent="0.35">
      <c r="B228" s="18"/>
      <c r="C228" s="18"/>
      <c r="D228" s="18"/>
    </row>
    <row r="229" spans="2:4" x14ac:dyDescent="0.35">
      <c r="B229" s="18"/>
      <c r="C229" s="18"/>
      <c r="D229" s="18"/>
    </row>
    <row r="230" spans="2:4" x14ac:dyDescent="0.35">
      <c r="B230" s="18"/>
      <c r="C230" s="18"/>
      <c r="D230" s="18"/>
    </row>
    <row r="231" spans="2:4" x14ac:dyDescent="0.35">
      <c r="B231" s="18"/>
      <c r="C231" s="18"/>
      <c r="D231" s="18"/>
    </row>
    <row r="232" spans="2:4" x14ac:dyDescent="0.3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6953125" defaultRowHeight="13" x14ac:dyDescent="0.3"/>
  <cols>
    <col min="1" max="2" width="14.26953125" style="61"/>
    <col min="3" max="3" width="17" style="61" customWidth="1"/>
    <col min="4" max="4" width="14.26953125" style="61"/>
    <col min="5" max="5" width="46" style="61" customWidth="1"/>
    <col min="6" max="16384" width="14.26953125" style="61"/>
  </cols>
  <sheetData>
    <row r="1" spans="2:6" ht="24" customHeight="1" thickBot="1" x14ac:dyDescent="0.35">
      <c r="B1" s="540" t="s">
        <v>72</v>
      </c>
      <c r="C1" s="541"/>
      <c r="D1" s="541"/>
      <c r="E1" s="541"/>
      <c r="F1" s="542"/>
    </row>
    <row r="2" spans="2:6" ht="16" thickBot="1" x14ac:dyDescent="0.4">
      <c r="B2" s="62"/>
      <c r="C2" s="62"/>
      <c r="D2" s="62"/>
      <c r="E2" s="62"/>
      <c r="F2" s="62"/>
    </row>
    <row r="3" spans="2:6" ht="16" thickBot="1" x14ac:dyDescent="0.35">
      <c r="B3" s="544" t="s">
        <v>58</v>
      </c>
      <c r="C3" s="545"/>
      <c r="D3" s="545"/>
      <c r="E3" s="74" t="s">
        <v>59</v>
      </c>
      <c r="F3" s="75" t="s">
        <v>60</v>
      </c>
    </row>
    <row r="4" spans="2:6" ht="31" x14ac:dyDescent="0.3">
      <c r="B4" s="546" t="s">
        <v>61</v>
      </c>
      <c r="C4" s="548" t="s">
        <v>13</v>
      </c>
      <c r="D4" s="63" t="s">
        <v>14</v>
      </c>
      <c r="E4" s="64" t="s">
        <v>62</v>
      </c>
      <c r="F4" s="65">
        <v>0.25</v>
      </c>
    </row>
    <row r="5" spans="2:6" ht="46.5" x14ac:dyDescent="0.3">
      <c r="B5" s="547"/>
      <c r="C5" s="549"/>
      <c r="D5" s="66" t="s">
        <v>15</v>
      </c>
      <c r="E5" s="67" t="s">
        <v>63</v>
      </c>
      <c r="F5" s="68">
        <v>0.15</v>
      </c>
    </row>
    <row r="6" spans="2:6" ht="46.5" x14ac:dyDescent="0.3">
      <c r="B6" s="547"/>
      <c r="C6" s="549"/>
      <c r="D6" s="66" t="s">
        <v>16</v>
      </c>
      <c r="E6" s="67" t="s">
        <v>64</v>
      </c>
      <c r="F6" s="68">
        <v>0.1</v>
      </c>
    </row>
    <row r="7" spans="2:6" ht="62" x14ac:dyDescent="0.3">
      <c r="B7" s="547"/>
      <c r="C7" s="549" t="s">
        <v>17</v>
      </c>
      <c r="D7" s="66" t="s">
        <v>10</v>
      </c>
      <c r="E7" s="67" t="s">
        <v>65</v>
      </c>
      <c r="F7" s="68">
        <v>0.25</v>
      </c>
    </row>
    <row r="8" spans="2:6" ht="31" x14ac:dyDescent="0.3">
      <c r="B8" s="547"/>
      <c r="C8" s="549"/>
      <c r="D8" s="66" t="s">
        <v>9</v>
      </c>
      <c r="E8" s="67" t="s">
        <v>66</v>
      </c>
      <c r="F8" s="68">
        <v>0.15</v>
      </c>
    </row>
    <row r="9" spans="2:6" ht="46.5" x14ac:dyDescent="0.3">
      <c r="B9" s="547" t="s">
        <v>136</v>
      </c>
      <c r="C9" s="549" t="s">
        <v>18</v>
      </c>
      <c r="D9" s="66" t="s">
        <v>19</v>
      </c>
      <c r="E9" s="67" t="s">
        <v>67</v>
      </c>
      <c r="F9" s="69" t="s">
        <v>68</v>
      </c>
    </row>
    <row r="10" spans="2:6" ht="46.5" x14ac:dyDescent="0.3">
      <c r="B10" s="547"/>
      <c r="C10" s="549"/>
      <c r="D10" s="66" t="s">
        <v>20</v>
      </c>
      <c r="E10" s="67" t="s">
        <v>69</v>
      </c>
      <c r="F10" s="69" t="s">
        <v>68</v>
      </c>
    </row>
    <row r="11" spans="2:6" ht="46.5" x14ac:dyDescent="0.3">
      <c r="B11" s="547"/>
      <c r="C11" s="549" t="s">
        <v>21</v>
      </c>
      <c r="D11" s="66" t="s">
        <v>22</v>
      </c>
      <c r="E11" s="67" t="s">
        <v>70</v>
      </c>
      <c r="F11" s="69" t="s">
        <v>68</v>
      </c>
    </row>
    <row r="12" spans="2:6" ht="46.5" x14ac:dyDescent="0.3">
      <c r="B12" s="547"/>
      <c r="C12" s="549"/>
      <c r="D12" s="66" t="s">
        <v>23</v>
      </c>
      <c r="E12" s="67" t="s">
        <v>71</v>
      </c>
      <c r="F12" s="69" t="s">
        <v>68</v>
      </c>
    </row>
    <row r="13" spans="2:6" ht="31" x14ac:dyDescent="0.3">
      <c r="B13" s="547"/>
      <c r="C13" s="549" t="s">
        <v>24</v>
      </c>
      <c r="D13" s="66" t="s">
        <v>110</v>
      </c>
      <c r="E13" s="67" t="s">
        <v>113</v>
      </c>
      <c r="F13" s="69" t="s">
        <v>68</v>
      </c>
    </row>
    <row r="14" spans="2:6" ht="16" thickBot="1" x14ac:dyDescent="0.35">
      <c r="B14" s="550"/>
      <c r="C14" s="551"/>
      <c r="D14" s="70" t="s">
        <v>111</v>
      </c>
      <c r="E14" s="71" t="s">
        <v>112</v>
      </c>
      <c r="F14" s="72" t="s">
        <v>68</v>
      </c>
    </row>
    <row r="15" spans="2:6" ht="49.5" customHeight="1" x14ac:dyDescent="0.3">
      <c r="B15" s="543" t="s">
        <v>133</v>
      </c>
      <c r="C15" s="543"/>
      <c r="D15" s="543"/>
      <c r="E15" s="543"/>
      <c r="F15" s="543"/>
    </row>
    <row r="16" spans="2:6" ht="27" customHeight="1" x14ac:dyDescent="0.3">
      <c r="B16" s="7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4.5" x14ac:dyDescent="0.35"/>
  <sheetData>
    <row r="2" spans="2:5" x14ac:dyDescent="0.35">
      <c r="B2" t="s">
        <v>31</v>
      </c>
      <c r="E2" t="s">
        <v>119</v>
      </c>
    </row>
    <row r="3" spans="2:5" x14ac:dyDescent="0.35">
      <c r="B3" t="s">
        <v>32</v>
      </c>
      <c r="E3" t="s">
        <v>118</v>
      </c>
    </row>
    <row r="4" spans="2:5" x14ac:dyDescent="0.35">
      <c r="B4" t="s">
        <v>123</v>
      </c>
      <c r="E4" t="s">
        <v>120</v>
      </c>
    </row>
    <row r="5" spans="2:5" x14ac:dyDescent="0.35">
      <c r="B5" t="s">
        <v>122</v>
      </c>
    </row>
    <row r="8" spans="2:5" x14ac:dyDescent="0.35">
      <c r="B8" t="s">
        <v>493</v>
      </c>
    </row>
    <row r="9" spans="2:5" x14ac:dyDescent="0.35">
      <c r="B9" t="s">
        <v>36</v>
      </c>
    </row>
    <row r="10" spans="2:5" x14ac:dyDescent="0.35">
      <c r="B10" t="s">
        <v>37</v>
      </c>
    </row>
    <row r="13" spans="2:5" x14ac:dyDescent="0.35">
      <c r="B13" t="s">
        <v>330</v>
      </c>
    </row>
    <row r="14" spans="2:5" x14ac:dyDescent="0.35">
      <c r="B14" t="s">
        <v>328</v>
      </c>
    </row>
    <row r="15" spans="2:5" x14ac:dyDescent="0.35">
      <c r="B15" t="s">
        <v>336</v>
      </c>
    </row>
    <row r="16" spans="2:5" x14ac:dyDescent="0.35">
      <c r="B16" t="s">
        <v>114</v>
      </c>
    </row>
    <row r="17" spans="2:2" x14ac:dyDescent="0.35">
      <c r="B17" t="s">
        <v>115</v>
      </c>
    </row>
    <row r="18" spans="2:2" x14ac:dyDescent="0.35">
      <c r="B18" t="s">
        <v>116</v>
      </c>
    </row>
    <row r="19" spans="2:2" x14ac:dyDescent="0.3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53125" defaultRowHeight="13" x14ac:dyDescent="0.3"/>
  <cols>
    <col min="1" max="1" width="32.81640625" style="5" customWidth="1"/>
    <col min="2" max="16384" width="11.453125" style="5"/>
  </cols>
  <sheetData>
    <row r="3" spans="1:1" x14ac:dyDescent="0.3">
      <c r="A3" s="6" t="s">
        <v>14</v>
      </c>
    </row>
    <row r="4" spans="1:1" x14ac:dyDescent="0.3">
      <c r="A4" s="6" t="s">
        <v>15</v>
      </c>
    </row>
    <row r="5" spans="1:1" x14ac:dyDescent="0.3">
      <c r="A5" s="6" t="s">
        <v>16</v>
      </c>
    </row>
    <row r="6" spans="1:1" x14ac:dyDescent="0.3">
      <c r="A6" s="6" t="s">
        <v>10</v>
      </c>
    </row>
    <row r="7" spans="1:1" x14ac:dyDescent="0.3">
      <c r="A7" s="6" t="s">
        <v>9</v>
      </c>
    </row>
    <row r="8" spans="1:1" x14ac:dyDescent="0.3">
      <c r="A8" s="6" t="s">
        <v>19</v>
      </c>
    </row>
    <row r="9" spans="1:1" x14ac:dyDescent="0.3">
      <c r="A9" s="6" t="s">
        <v>20</v>
      </c>
    </row>
    <row r="10" spans="1:1" x14ac:dyDescent="0.3">
      <c r="A10" s="6" t="s">
        <v>22</v>
      </c>
    </row>
    <row r="11" spans="1:1" x14ac:dyDescent="0.3">
      <c r="A11" s="6" t="s">
        <v>23</v>
      </c>
    </row>
    <row r="12" spans="1:1" x14ac:dyDescent="0.3">
      <c r="A12" s="6" t="s">
        <v>25</v>
      </c>
    </row>
    <row r="13" spans="1:1" x14ac:dyDescent="0.3">
      <c r="A13" s="6" t="s">
        <v>26</v>
      </c>
    </row>
    <row r="14" spans="1:1" x14ac:dyDescent="0.3">
      <c r="A14" s="6" t="s">
        <v>27</v>
      </c>
    </row>
    <row r="16" spans="1:1" x14ac:dyDescent="0.3">
      <c r="A16" s="6" t="s">
        <v>30</v>
      </c>
    </row>
    <row r="17" spans="1:1" x14ac:dyDescent="0.3">
      <c r="A17" s="6" t="s">
        <v>31</v>
      </c>
    </row>
    <row r="18" spans="1:1" x14ac:dyDescent="0.3">
      <c r="A18" s="6" t="s">
        <v>32</v>
      </c>
    </row>
    <row r="20" spans="1:1" x14ac:dyDescent="0.3">
      <c r="A20" s="6" t="s">
        <v>36</v>
      </c>
    </row>
    <row r="21" spans="1:1" x14ac:dyDescent="0.3">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SPAP</cp:lastModifiedBy>
  <cp:lastPrinted>2023-03-27T14:56:44Z</cp:lastPrinted>
  <dcterms:created xsi:type="dcterms:W3CDTF">2020-03-24T23:12:47Z</dcterms:created>
  <dcterms:modified xsi:type="dcterms:W3CDTF">2023-03-27T14:56:58Z</dcterms:modified>
</cp:coreProperties>
</file>