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W:\PRESUPUESTO 2025\EJECUCIONES 2025\04_ABRIL 2025\"/>
    </mc:Choice>
  </mc:AlternateContent>
  <xr:revisionPtr revIDLastSave="0" documentId="8_{598EDF7F-A688-4276-A273-9252B24B1100}" xr6:coauthVersionLast="47" xr6:coauthVersionMax="47" xr10:uidLastSave="{00000000-0000-0000-0000-000000000000}"/>
  <bookViews>
    <workbookView xWindow="-120" yWindow="-120" windowWidth="20730" windowHeight="11040" xr2:uid="{0A0DBF49-55D5-4A40-8E86-2921FED2D174}"/>
  </bookViews>
  <sheets>
    <sheet name="FIRMA FORMULA" sheetId="1" r:id="rId1"/>
  </sheets>
  <externalReferences>
    <externalReference r:id="rId2"/>
  </externalReferences>
  <definedNames>
    <definedName name="_xlnm._FilterDatabase" localSheetId="0" hidden="1">'FIRMA FORMULA'!$B$9:$P$87</definedName>
    <definedName name="_xlnm.Print_Area" localSheetId="0">'FIRMA FORMULA'!$B$1:$O$93</definedName>
    <definedName name="_xlnm.Print_Titles" localSheetId="0">'FIRMA FORMULA'!$1:$9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87" i="1" l="1"/>
  <c r="P86" i="1"/>
  <c r="N86" i="1"/>
  <c r="M86" i="1"/>
  <c r="K86" i="1"/>
  <c r="L86" i="1" s="1"/>
  <c r="J86" i="1"/>
  <c r="H86" i="1"/>
  <c r="F86" i="1"/>
  <c r="E86" i="1"/>
  <c r="D86" i="1"/>
  <c r="G86" i="1" s="1"/>
  <c r="I86" i="1" s="1"/>
  <c r="P85" i="1"/>
  <c r="N85" i="1"/>
  <c r="M85" i="1"/>
  <c r="K85" i="1"/>
  <c r="J85" i="1"/>
  <c r="H85" i="1"/>
  <c r="F85" i="1"/>
  <c r="G85" i="1" s="1"/>
  <c r="I85" i="1" s="1"/>
  <c r="O85" i="1" s="1"/>
  <c r="E85" i="1"/>
  <c r="D85" i="1"/>
  <c r="P84" i="1"/>
  <c r="O84" i="1"/>
  <c r="N84" i="1"/>
  <c r="M84" i="1"/>
  <c r="K84" i="1"/>
  <c r="J84" i="1"/>
  <c r="H84" i="1"/>
  <c r="G84" i="1"/>
  <c r="I84" i="1" s="1"/>
  <c r="F84" i="1"/>
  <c r="E84" i="1"/>
  <c r="D84" i="1"/>
  <c r="P83" i="1"/>
  <c r="N83" i="1"/>
  <c r="M83" i="1"/>
  <c r="K83" i="1"/>
  <c r="J83" i="1"/>
  <c r="H83" i="1"/>
  <c r="F83" i="1"/>
  <c r="E83" i="1"/>
  <c r="D83" i="1"/>
  <c r="G83" i="1" s="1"/>
  <c r="I83" i="1" s="1"/>
  <c r="O83" i="1" s="1"/>
  <c r="P82" i="1"/>
  <c r="N82" i="1"/>
  <c r="M82" i="1"/>
  <c r="K82" i="1"/>
  <c r="J82" i="1"/>
  <c r="I82" i="1"/>
  <c r="H82" i="1"/>
  <c r="F82" i="1"/>
  <c r="E82" i="1"/>
  <c r="D82" i="1"/>
  <c r="G82" i="1" s="1"/>
  <c r="P81" i="1"/>
  <c r="N81" i="1"/>
  <c r="M81" i="1"/>
  <c r="M80" i="1" s="1"/>
  <c r="K81" i="1"/>
  <c r="J81" i="1"/>
  <c r="J80" i="1" s="1"/>
  <c r="H81" i="1"/>
  <c r="H80" i="1" s="1"/>
  <c r="F81" i="1"/>
  <c r="F80" i="1" s="1"/>
  <c r="E81" i="1"/>
  <c r="E80" i="1" s="1"/>
  <c r="D81" i="1"/>
  <c r="P80" i="1"/>
  <c r="K80" i="1"/>
  <c r="P79" i="1"/>
  <c r="N79" i="1"/>
  <c r="M79" i="1"/>
  <c r="K79" i="1"/>
  <c r="J79" i="1"/>
  <c r="H79" i="1"/>
  <c r="H77" i="1" s="1"/>
  <c r="F79" i="1"/>
  <c r="E79" i="1"/>
  <c r="D79" i="1"/>
  <c r="G79" i="1" s="1"/>
  <c r="P78" i="1"/>
  <c r="N78" i="1"/>
  <c r="N77" i="1" s="1"/>
  <c r="M78" i="1"/>
  <c r="M77" i="1" s="1"/>
  <c r="K78" i="1"/>
  <c r="J78" i="1"/>
  <c r="H78" i="1"/>
  <c r="F78" i="1"/>
  <c r="F77" i="1" s="1"/>
  <c r="F76" i="1" s="1"/>
  <c r="E78" i="1"/>
  <c r="E77" i="1" s="1"/>
  <c r="E76" i="1" s="1"/>
  <c r="D78" i="1"/>
  <c r="G78" i="1" s="1"/>
  <c r="I78" i="1" s="1"/>
  <c r="P77" i="1"/>
  <c r="J77" i="1"/>
  <c r="J76" i="1" s="1"/>
  <c r="P76" i="1"/>
  <c r="P75" i="1"/>
  <c r="N75" i="1"/>
  <c r="M75" i="1"/>
  <c r="L75" i="1"/>
  <c r="K75" i="1"/>
  <c r="J75" i="1"/>
  <c r="H75" i="1"/>
  <c r="F75" i="1"/>
  <c r="E75" i="1"/>
  <c r="D75" i="1"/>
  <c r="G75" i="1" s="1"/>
  <c r="I75" i="1" s="1"/>
  <c r="O75" i="1" s="1"/>
  <c r="P74" i="1"/>
  <c r="N74" i="1"/>
  <c r="M74" i="1"/>
  <c r="K74" i="1"/>
  <c r="J74" i="1"/>
  <c r="I74" i="1"/>
  <c r="H74" i="1"/>
  <c r="F74" i="1"/>
  <c r="E74" i="1"/>
  <c r="D74" i="1"/>
  <c r="G74" i="1" s="1"/>
  <c r="P73" i="1"/>
  <c r="N73" i="1"/>
  <c r="M73" i="1"/>
  <c r="M72" i="1" s="1"/>
  <c r="M71" i="1" s="1"/>
  <c r="K73" i="1"/>
  <c r="J73" i="1"/>
  <c r="J72" i="1" s="1"/>
  <c r="J71" i="1" s="1"/>
  <c r="H73" i="1"/>
  <c r="F73" i="1"/>
  <c r="E73" i="1"/>
  <c r="E72" i="1" s="1"/>
  <c r="E71" i="1" s="1"/>
  <c r="D73" i="1"/>
  <c r="P72" i="1"/>
  <c r="K72" i="1"/>
  <c r="H72" i="1"/>
  <c r="D72" i="1"/>
  <c r="P71" i="1"/>
  <c r="H71" i="1"/>
  <c r="P70" i="1"/>
  <c r="N70" i="1"/>
  <c r="M70" i="1"/>
  <c r="M68" i="1" s="1"/>
  <c r="K70" i="1"/>
  <c r="J70" i="1"/>
  <c r="H70" i="1"/>
  <c r="F70" i="1"/>
  <c r="E70" i="1"/>
  <c r="D70" i="1"/>
  <c r="D68" i="1" s="1"/>
  <c r="P69" i="1"/>
  <c r="N69" i="1"/>
  <c r="N68" i="1" s="1"/>
  <c r="M69" i="1"/>
  <c r="K69" i="1"/>
  <c r="K68" i="1" s="1"/>
  <c r="J69" i="1"/>
  <c r="J68" i="1" s="1"/>
  <c r="H69" i="1"/>
  <c r="F69" i="1"/>
  <c r="F68" i="1" s="1"/>
  <c r="E69" i="1"/>
  <c r="D69" i="1"/>
  <c r="P68" i="1"/>
  <c r="H68" i="1"/>
  <c r="G68" i="1"/>
  <c r="I68" i="1" s="1"/>
  <c r="O68" i="1" s="1"/>
  <c r="P67" i="1"/>
  <c r="N67" i="1"/>
  <c r="M67" i="1"/>
  <c r="M66" i="1" s="1"/>
  <c r="M65" i="1" s="1"/>
  <c r="M64" i="1" s="1"/>
  <c r="M63" i="1" s="1"/>
  <c r="K67" i="1"/>
  <c r="K66" i="1" s="1"/>
  <c r="J67" i="1"/>
  <c r="H67" i="1"/>
  <c r="H66" i="1" s="1"/>
  <c r="H65" i="1" s="1"/>
  <c r="H64" i="1" s="1"/>
  <c r="H63" i="1" s="1"/>
  <c r="H62" i="1" s="1"/>
  <c r="F67" i="1"/>
  <c r="E67" i="1"/>
  <c r="E66" i="1" s="1"/>
  <c r="D67" i="1"/>
  <c r="P66" i="1"/>
  <c r="N66" i="1"/>
  <c r="J66" i="1"/>
  <c r="F66" i="1"/>
  <c r="P65" i="1"/>
  <c r="N65" i="1"/>
  <c r="F65" i="1"/>
  <c r="P64" i="1"/>
  <c r="P63" i="1"/>
  <c r="P62" i="1"/>
  <c r="M62" i="1"/>
  <c r="P61" i="1"/>
  <c r="N61" i="1"/>
  <c r="M61" i="1"/>
  <c r="K61" i="1"/>
  <c r="J61" i="1"/>
  <c r="J58" i="1" s="1"/>
  <c r="J57" i="1" s="1"/>
  <c r="H61" i="1"/>
  <c r="F61" i="1"/>
  <c r="G61" i="1" s="1"/>
  <c r="I61" i="1" s="1"/>
  <c r="E61" i="1"/>
  <c r="D61" i="1"/>
  <c r="P60" i="1"/>
  <c r="O60" i="1"/>
  <c r="N60" i="1"/>
  <c r="N58" i="1" s="1"/>
  <c r="M60" i="1"/>
  <c r="K60" i="1"/>
  <c r="L60" i="1" s="1"/>
  <c r="J60" i="1"/>
  <c r="H60" i="1"/>
  <c r="G60" i="1"/>
  <c r="I60" i="1" s="1"/>
  <c r="F60" i="1"/>
  <c r="F58" i="1" s="1"/>
  <c r="E60" i="1"/>
  <c r="D60" i="1"/>
  <c r="P59" i="1"/>
  <c r="N59" i="1"/>
  <c r="M59" i="1"/>
  <c r="M58" i="1" s="1"/>
  <c r="M57" i="1" s="1"/>
  <c r="K59" i="1"/>
  <c r="K58" i="1" s="1"/>
  <c r="J59" i="1"/>
  <c r="H59" i="1"/>
  <c r="H58" i="1" s="1"/>
  <c r="H57" i="1" s="1"/>
  <c r="F59" i="1"/>
  <c r="E59" i="1"/>
  <c r="E58" i="1" s="1"/>
  <c r="E57" i="1" s="1"/>
  <c r="D59" i="1"/>
  <c r="P58" i="1"/>
  <c r="P57" i="1"/>
  <c r="N57" i="1"/>
  <c r="F57" i="1"/>
  <c r="P56" i="1"/>
  <c r="N56" i="1"/>
  <c r="O56" i="1" s="1"/>
  <c r="M56" i="1"/>
  <c r="K56" i="1"/>
  <c r="J56" i="1"/>
  <c r="J55" i="1" s="1"/>
  <c r="J54" i="1" s="1"/>
  <c r="H56" i="1"/>
  <c r="F56" i="1"/>
  <c r="F55" i="1" s="1"/>
  <c r="F54" i="1" s="1"/>
  <c r="F53" i="1" s="1"/>
  <c r="E56" i="1"/>
  <c r="E55" i="1" s="1"/>
  <c r="E54" i="1" s="1"/>
  <c r="E53" i="1" s="1"/>
  <c r="D56" i="1"/>
  <c r="G56" i="1" s="1"/>
  <c r="I56" i="1" s="1"/>
  <c r="P55" i="1"/>
  <c r="N55" i="1"/>
  <c r="M55" i="1"/>
  <c r="H55" i="1"/>
  <c r="H54" i="1" s="1"/>
  <c r="H53" i="1" s="1"/>
  <c r="P54" i="1"/>
  <c r="N54" i="1"/>
  <c r="N53" i="1" s="1"/>
  <c r="M54" i="1"/>
  <c r="M53" i="1" s="1"/>
  <c r="P53" i="1"/>
  <c r="J53" i="1"/>
  <c r="P52" i="1"/>
  <c r="N52" i="1"/>
  <c r="M52" i="1"/>
  <c r="K52" i="1"/>
  <c r="J52" i="1"/>
  <c r="H52" i="1"/>
  <c r="G52" i="1"/>
  <c r="I52" i="1" s="1"/>
  <c r="O52" i="1" s="1"/>
  <c r="F52" i="1"/>
  <c r="E52" i="1"/>
  <c r="D52" i="1"/>
  <c r="P51" i="1"/>
  <c r="N51" i="1"/>
  <c r="M51" i="1"/>
  <c r="K51" i="1"/>
  <c r="J51" i="1"/>
  <c r="H51" i="1"/>
  <c r="F51" i="1"/>
  <c r="E51" i="1"/>
  <c r="D51" i="1"/>
  <c r="G51" i="1" s="1"/>
  <c r="I51" i="1" s="1"/>
  <c r="O51" i="1" s="1"/>
  <c r="P50" i="1"/>
  <c r="N50" i="1"/>
  <c r="M50" i="1"/>
  <c r="K50" i="1"/>
  <c r="J50" i="1"/>
  <c r="I50" i="1"/>
  <c r="H50" i="1"/>
  <c r="F50" i="1"/>
  <c r="E50" i="1"/>
  <c r="D50" i="1"/>
  <c r="G50" i="1" s="1"/>
  <c r="P49" i="1"/>
  <c r="N49" i="1"/>
  <c r="O49" i="1" s="1"/>
  <c r="M49" i="1"/>
  <c r="K49" i="1"/>
  <c r="J49" i="1"/>
  <c r="H49" i="1"/>
  <c r="F49" i="1"/>
  <c r="G49" i="1" s="1"/>
  <c r="I49" i="1" s="1"/>
  <c r="L49" i="1" s="1"/>
  <c r="E49" i="1"/>
  <c r="D49" i="1"/>
  <c r="P48" i="1"/>
  <c r="N48" i="1"/>
  <c r="M48" i="1"/>
  <c r="M47" i="1" s="1"/>
  <c r="K48" i="1"/>
  <c r="J48" i="1"/>
  <c r="J47" i="1" s="1"/>
  <c r="H48" i="1"/>
  <c r="F48" i="1"/>
  <c r="F47" i="1" s="1"/>
  <c r="E48" i="1"/>
  <c r="E47" i="1" s="1"/>
  <c r="D48" i="1"/>
  <c r="G48" i="1" s="1"/>
  <c r="I48" i="1" s="1"/>
  <c r="P47" i="1"/>
  <c r="H47" i="1"/>
  <c r="P46" i="1"/>
  <c r="N46" i="1"/>
  <c r="O46" i="1" s="1"/>
  <c r="M46" i="1"/>
  <c r="K46" i="1"/>
  <c r="J46" i="1"/>
  <c r="H46" i="1"/>
  <c r="F46" i="1"/>
  <c r="E46" i="1"/>
  <c r="D46" i="1"/>
  <c r="G46" i="1" s="1"/>
  <c r="I46" i="1" s="1"/>
  <c r="P45" i="1"/>
  <c r="N45" i="1"/>
  <c r="M45" i="1"/>
  <c r="K45" i="1"/>
  <c r="L45" i="1" s="1"/>
  <c r="J45" i="1"/>
  <c r="H45" i="1"/>
  <c r="F45" i="1"/>
  <c r="E45" i="1"/>
  <c r="E43" i="1" s="1"/>
  <c r="D45" i="1"/>
  <c r="G45" i="1" s="1"/>
  <c r="I45" i="1" s="1"/>
  <c r="P44" i="1"/>
  <c r="N44" i="1"/>
  <c r="N43" i="1" s="1"/>
  <c r="O43" i="1" s="1"/>
  <c r="M44" i="1"/>
  <c r="K44" i="1"/>
  <c r="K43" i="1" s="1"/>
  <c r="J44" i="1"/>
  <c r="H44" i="1"/>
  <c r="H43" i="1" s="1"/>
  <c r="H42" i="1" s="1"/>
  <c r="H41" i="1" s="1"/>
  <c r="G44" i="1"/>
  <c r="I44" i="1" s="1"/>
  <c r="O44" i="1" s="1"/>
  <c r="F44" i="1"/>
  <c r="F43" i="1" s="1"/>
  <c r="F42" i="1" s="1"/>
  <c r="E44" i="1"/>
  <c r="D44" i="1"/>
  <c r="P43" i="1"/>
  <c r="D43" i="1"/>
  <c r="G43" i="1" s="1"/>
  <c r="I43" i="1" s="1"/>
  <c r="L43" i="1" s="1"/>
  <c r="P42" i="1"/>
  <c r="P41" i="1"/>
  <c r="F41" i="1"/>
  <c r="P40" i="1"/>
  <c r="N40" i="1"/>
  <c r="M40" i="1"/>
  <c r="K40" i="1"/>
  <c r="J40" i="1"/>
  <c r="H40" i="1"/>
  <c r="F40" i="1"/>
  <c r="E40" i="1"/>
  <c r="D40" i="1"/>
  <c r="P39" i="1"/>
  <c r="N39" i="1"/>
  <c r="M39" i="1"/>
  <c r="K39" i="1"/>
  <c r="J39" i="1"/>
  <c r="H39" i="1"/>
  <c r="F39" i="1"/>
  <c r="E39" i="1"/>
  <c r="D39" i="1"/>
  <c r="G39" i="1" s="1"/>
  <c r="P38" i="1"/>
  <c r="N38" i="1"/>
  <c r="O38" i="1" s="1"/>
  <c r="M38" i="1"/>
  <c r="K38" i="1"/>
  <c r="J38" i="1"/>
  <c r="H38" i="1"/>
  <c r="H36" i="1" s="1"/>
  <c r="H35" i="1" s="1"/>
  <c r="F38" i="1"/>
  <c r="E38" i="1"/>
  <c r="D38" i="1"/>
  <c r="G38" i="1" s="1"/>
  <c r="I38" i="1" s="1"/>
  <c r="P37" i="1"/>
  <c r="N37" i="1"/>
  <c r="N36" i="1" s="1"/>
  <c r="N35" i="1" s="1"/>
  <c r="M37" i="1"/>
  <c r="K37" i="1"/>
  <c r="J37" i="1"/>
  <c r="J36" i="1" s="1"/>
  <c r="J35" i="1" s="1"/>
  <c r="H37" i="1"/>
  <c r="F37" i="1"/>
  <c r="E37" i="1"/>
  <c r="D37" i="1"/>
  <c r="G37" i="1" s="1"/>
  <c r="I37" i="1" s="1"/>
  <c r="P36" i="1"/>
  <c r="M36" i="1"/>
  <c r="M35" i="1" s="1"/>
  <c r="E36" i="1"/>
  <c r="E35" i="1" s="1"/>
  <c r="P35" i="1"/>
  <c r="P34" i="1"/>
  <c r="N34" i="1"/>
  <c r="M34" i="1"/>
  <c r="K34" i="1"/>
  <c r="J34" i="1"/>
  <c r="H34" i="1"/>
  <c r="F34" i="1"/>
  <c r="E34" i="1"/>
  <c r="D34" i="1"/>
  <c r="G34" i="1" s="1"/>
  <c r="I34" i="1" s="1"/>
  <c r="P33" i="1"/>
  <c r="N33" i="1"/>
  <c r="O33" i="1" s="1"/>
  <c r="M33" i="1"/>
  <c r="K33" i="1"/>
  <c r="J33" i="1"/>
  <c r="H33" i="1"/>
  <c r="F33" i="1"/>
  <c r="E33" i="1"/>
  <c r="D33" i="1"/>
  <c r="G33" i="1" s="1"/>
  <c r="I33" i="1" s="1"/>
  <c r="L33" i="1" s="1"/>
  <c r="P32" i="1"/>
  <c r="N32" i="1"/>
  <c r="M32" i="1"/>
  <c r="K32" i="1"/>
  <c r="L32" i="1" s="1"/>
  <c r="J32" i="1"/>
  <c r="I32" i="1"/>
  <c r="H32" i="1"/>
  <c r="F32" i="1"/>
  <c r="E32" i="1"/>
  <c r="D32" i="1"/>
  <c r="G32" i="1" s="1"/>
  <c r="P31" i="1"/>
  <c r="N31" i="1"/>
  <c r="M31" i="1"/>
  <c r="K31" i="1"/>
  <c r="J31" i="1"/>
  <c r="H31" i="1"/>
  <c r="F31" i="1"/>
  <c r="G31" i="1" s="1"/>
  <c r="I31" i="1" s="1"/>
  <c r="E31" i="1"/>
  <c r="D31" i="1"/>
  <c r="P30" i="1"/>
  <c r="N30" i="1"/>
  <c r="O30" i="1" s="1"/>
  <c r="M30" i="1"/>
  <c r="K30" i="1"/>
  <c r="J30" i="1"/>
  <c r="H30" i="1"/>
  <c r="F30" i="1"/>
  <c r="E30" i="1"/>
  <c r="D30" i="1"/>
  <c r="G30" i="1" s="1"/>
  <c r="I30" i="1" s="1"/>
  <c r="P29" i="1"/>
  <c r="N29" i="1"/>
  <c r="M29" i="1"/>
  <c r="K29" i="1"/>
  <c r="J29" i="1"/>
  <c r="H29" i="1"/>
  <c r="F29" i="1"/>
  <c r="E29" i="1"/>
  <c r="E27" i="1" s="1"/>
  <c r="D29" i="1"/>
  <c r="G29" i="1" s="1"/>
  <c r="I29" i="1" s="1"/>
  <c r="P28" i="1"/>
  <c r="N28" i="1"/>
  <c r="M28" i="1"/>
  <c r="M27" i="1" s="1"/>
  <c r="K28" i="1"/>
  <c r="J28" i="1"/>
  <c r="H28" i="1"/>
  <c r="H27" i="1" s="1"/>
  <c r="G28" i="1"/>
  <c r="I28" i="1" s="1"/>
  <c r="O28" i="1" s="1"/>
  <c r="F28" i="1"/>
  <c r="E28" i="1"/>
  <c r="D28" i="1"/>
  <c r="P27" i="1"/>
  <c r="J27" i="1"/>
  <c r="P26" i="1"/>
  <c r="N26" i="1"/>
  <c r="M26" i="1"/>
  <c r="K26" i="1"/>
  <c r="J26" i="1"/>
  <c r="H26" i="1"/>
  <c r="F26" i="1"/>
  <c r="E26" i="1"/>
  <c r="D26" i="1"/>
  <c r="P25" i="1"/>
  <c r="N25" i="1"/>
  <c r="M25" i="1"/>
  <c r="K25" i="1"/>
  <c r="J25" i="1"/>
  <c r="H25" i="1"/>
  <c r="F25" i="1"/>
  <c r="G25" i="1" s="1"/>
  <c r="I25" i="1" s="1"/>
  <c r="L25" i="1" s="1"/>
  <c r="E25" i="1"/>
  <c r="D25" i="1"/>
  <c r="P24" i="1"/>
  <c r="N24" i="1"/>
  <c r="M24" i="1"/>
  <c r="M23" i="1" s="1"/>
  <c r="K24" i="1"/>
  <c r="J24" i="1"/>
  <c r="J23" i="1" s="1"/>
  <c r="H24" i="1"/>
  <c r="F24" i="1"/>
  <c r="E24" i="1"/>
  <c r="E23" i="1" s="1"/>
  <c r="D24" i="1"/>
  <c r="P23" i="1"/>
  <c r="K23" i="1"/>
  <c r="H23" i="1"/>
  <c r="F23" i="1"/>
  <c r="P22" i="1"/>
  <c r="N22" i="1"/>
  <c r="M22" i="1"/>
  <c r="K22" i="1"/>
  <c r="J22" i="1"/>
  <c r="H22" i="1"/>
  <c r="F22" i="1"/>
  <c r="F15" i="1" s="1"/>
  <c r="F14" i="1" s="1"/>
  <c r="E22" i="1"/>
  <c r="D22" i="1"/>
  <c r="P21" i="1"/>
  <c r="N21" i="1"/>
  <c r="M21" i="1"/>
  <c r="K21" i="1"/>
  <c r="J21" i="1"/>
  <c r="I21" i="1"/>
  <c r="H21" i="1"/>
  <c r="F21" i="1"/>
  <c r="E21" i="1"/>
  <c r="D21" i="1"/>
  <c r="G21" i="1" s="1"/>
  <c r="P20" i="1"/>
  <c r="N20" i="1"/>
  <c r="O20" i="1" s="1"/>
  <c r="M20" i="1"/>
  <c r="K20" i="1"/>
  <c r="J20" i="1"/>
  <c r="H20" i="1"/>
  <c r="G20" i="1"/>
  <c r="I20" i="1" s="1"/>
  <c r="F20" i="1"/>
  <c r="E20" i="1"/>
  <c r="D20" i="1"/>
  <c r="P19" i="1"/>
  <c r="N19" i="1"/>
  <c r="M19" i="1"/>
  <c r="K19" i="1"/>
  <c r="J19" i="1"/>
  <c r="H19" i="1"/>
  <c r="G19" i="1"/>
  <c r="I19" i="1" s="1"/>
  <c r="O19" i="1" s="1"/>
  <c r="F19" i="1"/>
  <c r="E19" i="1"/>
  <c r="D19" i="1"/>
  <c r="P18" i="1"/>
  <c r="N18" i="1"/>
  <c r="M18" i="1"/>
  <c r="K18" i="1"/>
  <c r="J18" i="1"/>
  <c r="H18" i="1"/>
  <c r="H15" i="1" s="1"/>
  <c r="H14" i="1" s="1"/>
  <c r="H13" i="1" s="1"/>
  <c r="H12" i="1" s="1"/>
  <c r="H11" i="1" s="1"/>
  <c r="H10" i="1" s="1"/>
  <c r="H87" i="1" s="1"/>
  <c r="F18" i="1"/>
  <c r="E18" i="1"/>
  <c r="D18" i="1"/>
  <c r="G18" i="1" s="1"/>
  <c r="I18" i="1" s="1"/>
  <c r="P17" i="1"/>
  <c r="N17" i="1"/>
  <c r="O17" i="1" s="1"/>
  <c r="M17" i="1"/>
  <c r="K17" i="1"/>
  <c r="J17" i="1"/>
  <c r="H17" i="1"/>
  <c r="F17" i="1"/>
  <c r="G17" i="1" s="1"/>
  <c r="I17" i="1" s="1"/>
  <c r="L17" i="1" s="1"/>
  <c r="E17" i="1"/>
  <c r="D17" i="1"/>
  <c r="P16" i="1"/>
  <c r="N16" i="1"/>
  <c r="M16" i="1"/>
  <c r="K16" i="1"/>
  <c r="J16" i="1"/>
  <c r="H16" i="1"/>
  <c r="F16" i="1"/>
  <c r="E16" i="1"/>
  <c r="D16" i="1"/>
  <c r="G16" i="1" s="1"/>
  <c r="I16" i="1" s="1"/>
  <c r="P15" i="1"/>
  <c r="K15" i="1"/>
  <c r="P14" i="1"/>
  <c r="P13" i="1"/>
  <c r="P12" i="1"/>
  <c r="P11" i="1"/>
  <c r="P10" i="1"/>
  <c r="O25" i="1" l="1"/>
  <c r="O18" i="1"/>
  <c r="L18" i="1"/>
  <c r="L24" i="1"/>
  <c r="L34" i="1"/>
  <c r="O34" i="1"/>
  <c r="L16" i="1"/>
  <c r="L30" i="1"/>
  <c r="L38" i="1"/>
  <c r="J43" i="1"/>
  <c r="J42" i="1" s="1"/>
  <c r="J41" i="1" s="1"/>
  <c r="O50" i="1"/>
  <c r="L50" i="1"/>
  <c r="K57" i="1"/>
  <c r="G67" i="1"/>
  <c r="I67" i="1" s="1"/>
  <c r="D66" i="1"/>
  <c r="F72" i="1"/>
  <c r="F71" i="1" s="1"/>
  <c r="F64" i="1" s="1"/>
  <c r="F63" i="1" s="1"/>
  <c r="F62" i="1" s="1"/>
  <c r="G73" i="1"/>
  <c r="I73" i="1" s="1"/>
  <c r="L73" i="1" s="1"/>
  <c r="O79" i="1"/>
  <c r="D15" i="1"/>
  <c r="L31" i="1"/>
  <c r="O16" i="1"/>
  <c r="L19" i="1"/>
  <c r="N15" i="1"/>
  <c r="G22" i="1"/>
  <c r="I22" i="1" s="1"/>
  <c r="L22" i="1" s="1"/>
  <c r="J15" i="1"/>
  <c r="J14" i="1" s="1"/>
  <c r="J13" i="1" s="1"/>
  <c r="J12" i="1" s="1"/>
  <c r="J11" i="1" s="1"/>
  <c r="L20" i="1"/>
  <c r="F27" i="1"/>
  <c r="F13" i="1" s="1"/>
  <c r="F12" i="1" s="1"/>
  <c r="F11" i="1" s="1"/>
  <c r="O29" i="1"/>
  <c r="N47" i="1"/>
  <c r="I79" i="1"/>
  <c r="O82" i="1"/>
  <c r="L82" i="1"/>
  <c r="L85" i="1"/>
  <c r="G59" i="1"/>
  <c r="I59" i="1" s="1"/>
  <c r="D58" i="1"/>
  <c r="O74" i="1"/>
  <c r="L74" i="1"/>
  <c r="N80" i="1"/>
  <c r="O31" i="1"/>
  <c r="F36" i="1"/>
  <c r="F35" i="1" s="1"/>
  <c r="I39" i="1"/>
  <c r="L39" i="1" s="1"/>
  <c r="O40" i="1"/>
  <c r="M43" i="1"/>
  <c r="M42" i="1" s="1"/>
  <c r="M41" i="1" s="1"/>
  <c r="L46" i="1"/>
  <c r="L51" i="1"/>
  <c r="K71" i="1"/>
  <c r="H76" i="1"/>
  <c r="G81" i="1"/>
  <c r="I81" i="1" s="1"/>
  <c r="L81" i="1" s="1"/>
  <c r="O86" i="1"/>
  <c r="G24" i="1"/>
  <c r="I24" i="1" s="1"/>
  <c r="D23" i="1"/>
  <c r="G23" i="1" s="1"/>
  <c r="I23" i="1" s="1"/>
  <c r="L68" i="1"/>
  <c r="L21" i="1"/>
  <c r="K14" i="1"/>
  <c r="G26" i="1"/>
  <c r="I26" i="1" s="1"/>
  <c r="L28" i="1"/>
  <c r="G40" i="1"/>
  <c r="I40" i="1" s="1"/>
  <c r="L40" i="1" s="1"/>
  <c r="O45" i="1"/>
  <c r="L61" i="1"/>
  <c r="J65" i="1"/>
  <c r="J64" i="1" s="1"/>
  <c r="J63" i="1" s="1"/>
  <c r="J62" i="1" s="1"/>
  <c r="K65" i="1"/>
  <c r="N72" i="1"/>
  <c r="L78" i="1"/>
  <c r="L83" i="1"/>
  <c r="L80" i="1"/>
  <c r="E15" i="1"/>
  <c r="E14" i="1" s="1"/>
  <c r="E13" i="1" s="1"/>
  <c r="E12" i="1" s="1"/>
  <c r="E11" i="1" s="1"/>
  <c r="O21" i="1"/>
  <c r="L23" i="1"/>
  <c r="L52" i="1"/>
  <c r="M76" i="1"/>
  <c r="L79" i="1"/>
  <c r="K55" i="1"/>
  <c r="L56" i="1"/>
  <c r="O24" i="1"/>
  <c r="M15" i="1"/>
  <c r="M14" i="1" s="1"/>
  <c r="M13" i="1" s="1"/>
  <c r="M12" i="1" s="1"/>
  <c r="N23" i="1"/>
  <c r="O23" i="1" s="1"/>
  <c r="D27" i="1"/>
  <c r="G27" i="1" s="1"/>
  <c r="I27" i="1" s="1"/>
  <c r="N27" i="1"/>
  <c r="O27" i="1" s="1"/>
  <c r="K27" i="1"/>
  <c r="L27" i="1" s="1"/>
  <c r="L29" i="1"/>
  <c r="O32" i="1"/>
  <c r="K36" i="1"/>
  <c r="E42" i="1"/>
  <c r="E41" i="1" s="1"/>
  <c r="K47" i="1"/>
  <c r="K42" i="1" s="1"/>
  <c r="L48" i="1"/>
  <c r="O61" i="1"/>
  <c r="E68" i="1"/>
  <c r="E65" i="1" s="1"/>
  <c r="E64" i="1" s="1"/>
  <c r="E63" i="1" s="1"/>
  <c r="E62" i="1" s="1"/>
  <c r="N76" i="1"/>
  <c r="L84" i="1"/>
  <c r="K77" i="1"/>
  <c r="D80" i="1"/>
  <c r="G80" i="1" s="1"/>
  <c r="I80" i="1" s="1"/>
  <c r="L37" i="1"/>
  <c r="L69" i="1"/>
  <c r="G70" i="1"/>
  <c r="I70" i="1" s="1"/>
  <c r="L70" i="1" s="1"/>
  <c r="D77" i="1"/>
  <c r="O78" i="1"/>
  <c r="D47" i="1"/>
  <c r="O48" i="1"/>
  <c r="D55" i="1"/>
  <c r="D71" i="1"/>
  <c r="G71" i="1" s="1"/>
  <c r="I71" i="1" s="1"/>
  <c r="D36" i="1"/>
  <c r="O37" i="1"/>
  <c r="L44" i="1"/>
  <c r="G69" i="1"/>
  <c r="I69" i="1" s="1"/>
  <c r="O69" i="1" s="1"/>
  <c r="K41" i="1" l="1"/>
  <c r="F10" i="1"/>
  <c r="F87" i="1" s="1"/>
  <c r="K35" i="1"/>
  <c r="L35" i="1" s="1"/>
  <c r="L36" i="1"/>
  <c r="K64" i="1"/>
  <c r="D35" i="1"/>
  <c r="G35" i="1" s="1"/>
  <c r="I35" i="1" s="1"/>
  <c r="O35" i="1" s="1"/>
  <c r="G36" i="1"/>
  <c r="I36" i="1" s="1"/>
  <c r="O36" i="1" s="1"/>
  <c r="E10" i="1"/>
  <c r="E87" i="1" s="1"/>
  <c r="J10" i="1"/>
  <c r="J87" i="1" s="1"/>
  <c r="D14" i="1"/>
  <c r="G15" i="1"/>
  <c r="I15" i="1" s="1"/>
  <c r="L15" i="1" s="1"/>
  <c r="G58" i="1"/>
  <c r="I58" i="1" s="1"/>
  <c r="D57" i="1"/>
  <c r="G57" i="1" s="1"/>
  <c r="I57" i="1" s="1"/>
  <c r="O57" i="1" s="1"/>
  <c r="O15" i="1"/>
  <c r="N14" i="1"/>
  <c r="N42" i="1"/>
  <c r="K54" i="1"/>
  <c r="O59" i="1"/>
  <c r="L59" i="1"/>
  <c r="G47" i="1"/>
  <c r="I47" i="1" s="1"/>
  <c r="O47" i="1" s="1"/>
  <c r="D42" i="1"/>
  <c r="K76" i="1"/>
  <c r="L76" i="1" s="1"/>
  <c r="O70" i="1"/>
  <c r="O73" i="1"/>
  <c r="O39" i="1"/>
  <c r="L71" i="1"/>
  <c r="G66" i="1"/>
  <c r="I66" i="1" s="1"/>
  <c r="D65" i="1"/>
  <c r="L47" i="1"/>
  <c r="N71" i="1"/>
  <c r="O72" i="1"/>
  <c r="O81" i="1"/>
  <c r="O67" i="1"/>
  <c r="L67" i="1"/>
  <c r="G55" i="1"/>
  <c r="I55" i="1" s="1"/>
  <c r="O55" i="1" s="1"/>
  <c r="D54" i="1"/>
  <c r="G77" i="1"/>
  <c r="I77" i="1" s="1"/>
  <c r="O77" i="1" s="1"/>
  <c r="D76" i="1"/>
  <c r="G76" i="1" s="1"/>
  <c r="I76" i="1" s="1"/>
  <c r="O76" i="1" s="1"/>
  <c r="M11" i="1"/>
  <c r="M10" i="1" s="1"/>
  <c r="M87" i="1" s="1"/>
  <c r="L26" i="1"/>
  <c r="O26" i="1"/>
  <c r="O80" i="1"/>
  <c r="G72" i="1"/>
  <c r="I72" i="1" s="1"/>
  <c r="L72" i="1" s="1"/>
  <c r="O22" i="1"/>
  <c r="K53" i="1" l="1"/>
  <c r="K63" i="1"/>
  <c r="K62" i="1" s="1"/>
  <c r="O71" i="1"/>
  <c r="N64" i="1"/>
  <c r="L77" i="1"/>
  <c r="N41" i="1"/>
  <c r="G14" i="1"/>
  <c r="I14" i="1" s="1"/>
  <c r="L14" i="1" s="1"/>
  <c r="D13" i="1"/>
  <c r="N13" i="1"/>
  <c r="O14" i="1"/>
  <c r="O66" i="1"/>
  <c r="L66" i="1"/>
  <c r="G65" i="1"/>
  <c r="I65" i="1" s="1"/>
  <c r="D64" i="1"/>
  <c r="O58" i="1"/>
  <c r="L58" i="1"/>
  <c r="G54" i="1"/>
  <c r="I54" i="1" s="1"/>
  <c r="O54" i="1" s="1"/>
  <c r="D53" i="1"/>
  <c r="G53" i="1" s="1"/>
  <c r="I53" i="1" s="1"/>
  <c r="O53" i="1" s="1"/>
  <c r="G42" i="1"/>
  <c r="I42" i="1" s="1"/>
  <c r="L42" i="1" s="1"/>
  <c r="D41" i="1"/>
  <c r="G41" i="1" s="1"/>
  <c r="I41" i="1" s="1"/>
  <c r="L41" i="1" s="1"/>
  <c r="L55" i="1"/>
  <c r="L57" i="1"/>
  <c r="K13" i="1"/>
  <c r="O42" i="1" l="1"/>
  <c r="N12" i="1"/>
  <c r="L53" i="1"/>
  <c r="O65" i="1"/>
  <c r="L65" i="1"/>
  <c r="N63" i="1"/>
  <c r="G13" i="1"/>
  <c r="I13" i="1" s="1"/>
  <c r="O13" i="1" s="1"/>
  <c r="D12" i="1"/>
  <c r="K12" i="1"/>
  <c r="L13" i="1"/>
  <c r="G64" i="1"/>
  <c r="D63" i="1"/>
  <c r="D62" i="1" s="1"/>
  <c r="G62" i="1" s="1"/>
  <c r="I62" i="1" s="1"/>
  <c r="L62" i="1" s="1"/>
  <c r="O41" i="1"/>
  <c r="L54" i="1"/>
  <c r="G63" i="1" l="1"/>
  <c r="I64" i="1"/>
  <c r="L12" i="1"/>
  <c r="K11" i="1"/>
  <c r="N11" i="1"/>
  <c r="O12" i="1"/>
  <c r="N62" i="1"/>
  <c r="O62" i="1" s="1"/>
  <c r="G12" i="1"/>
  <c r="I12" i="1" s="1"/>
  <c r="D11" i="1"/>
  <c r="N10" i="1" l="1"/>
  <c r="K10" i="1"/>
  <c r="D10" i="1"/>
  <c r="G11" i="1"/>
  <c r="I11" i="1" s="1"/>
  <c r="O11" i="1" s="1"/>
  <c r="I63" i="1"/>
  <c r="O63" i="1" s="1"/>
  <c r="L64" i="1"/>
  <c r="L63" i="1" s="1"/>
  <c r="O64" i="1"/>
  <c r="D87" i="1" l="1"/>
  <c r="G87" i="1" s="1"/>
  <c r="I87" i="1" s="1"/>
  <c r="G10" i="1"/>
  <c r="I10" i="1" s="1"/>
  <c r="L11" i="1"/>
  <c r="K87" i="1"/>
  <c r="L10" i="1"/>
  <c r="N87" i="1"/>
  <c r="O87" i="1" s="1"/>
  <c r="O10" i="1"/>
  <c r="L87" i="1" l="1"/>
</calcChain>
</file>

<file path=xl/sharedStrings.xml><?xml version="1.0" encoding="utf-8"?>
<sst xmlns="http://schemas.openxmlformats.org/spreadsheetml/2006/main" count="190" uniqueCount="185">
  <si>
    <t>EMPRESA DE RENOVACIÓN Y DESARROLLO Y URBANO DE BOGOTÁ D.C. - RENOBO</t>
  </si>
  <si>
    <t>Ejecución Presupuestal de Gastos e Inversión          Periodo 202504</t>
  </si>
  <si>
    <t>Código</t>
  </si>
  <si>
    <t>Nombre</t>
  </si>
  <si>
    <t>Apropiación Inicial</t>
  </si>
  <si>
    <t>Modificaciones</t>
  </si>
  <si>
    <t xml:space="preserve"> Presupuestales</t>
  </si>
  <si>
    <t>Apropiación</t>
  </si>
  <si>
    <t xml:space="preserve">Apropiaciones </t>
  </si>
  <si>
    <t>Compromisos Mes</t>
  </si>
  <si>
    <t>Compromisos</t>
  </si>
  <si>
    <t>% Ejec.</t>
  </si>
  <si>
    <t>Giros Mes</t>
  </si>
  <si>
    <t>Giros</t>
  </si>
  <si>
    <t>% Giros</t>
  </si>
  <si>
    <t xml:space="preserve">Mes </t>
  </si>
  <si>
    <t>Acumulado</t>
  </si>
  <si>
    <t>Vigente</t>
  </si>
  <si>
    <t>Suspendidas</t>
  </si>
  <si>
    <t>Disponible</t>
  </si>
  <si>
    <t>Acumulados</t>
  </si>
  <si>
    <t>6 = (3 + 5)</t>
  </si>
  <si>
    <t>8 = (6 - 7)</t>
  </si>
  <si>
    <t>11 = (10 / 8)</t>
  </si>
  <si>
    <t>14 = (13 / 8)</t>
  </si>
  <si>
    <t>42</t>
  </si>
  <si>
    <t>GASTOS</t>
  </si>
  <si>
    <t>421</t>
  </si>
  <si>
    <t>FUNCIONAMIENTO</t>
  </si>
  <si>
    <t>4211</t>
  </si>
  <si>
    <t>GASTOS DE PERSONAL</t>
  </si>
  <si>
    <t>421101</t>
  </si>
  <si>
    <t>PLANTA DE PERSONAL PERMANENTE</t>
  </si>
  <si>
    <t>42110101</t>
  </si>
  <si>
    <t>FACTORES CONSTITUTIVOS DE SALARIO</t>
  </si>
  <si>
    <t>42110101001</t>
  </si>
  <si>
    <t>FACTORES SALARIALES COMUNES</t>
  </si>
  <si>
    <t>4211010100101</t>
  </si>
  <si>
    <t>SUELDO BÁSICO</t>
  </si>
  <si>
    <t>4211010100102</t>
  </si>
  <si>
    <t>HORAS EXTRAS, DOMINICALES, FESTIVOS Y RECARGOS</t>
  </si>
  <si>
    <t>4211010100103</t>
  </si>
  <si>
    <t>GASTOS DE REPRESENTACIÓN</t>
  </si>
  <si>
    <t>4211010100104</t>
  </si>
  <si>
    <t>SUBSIDIO DE ALIMENTACIÓN</t>
  </si>
  <si>
    <t>4211010100105</t>
  </si>
  <si>
    <t>AUXILIO DE TRANSPORTE</t>
  </si>
  <si>
    <t>4211010100106</t>
  </si>
  <si>
    <t>PRIMA DE SERVICIO</t>
  </si>
  <si>
    <t>4211010100107</t>
  </si>
  <si>
    <t>BONIFICACIÓN POR SERVICIOS PRESTADOS</t>
  </si>
  <si>
    <t>4211010100108</t>
  </si>
  <si>
    <t>PRESTACIONES SOCIALES</t>
  </si>
  <si>
    <t>421101010010801</t>
  </si>
  <si>
    <t>PRIMA DE NAVIDAD</t>
  </si>
  <si>
    <t>421101010010802</t>
  </si>
  <si>
    <t>PRIMA DE VACACIONES</t>
  </si>
  <si>
    <t>4211010100109</t>
  </si>
  <si>
    <t>PRIMA TÉCNICA SALARIAL</t>
  </si>
  <si>
    <t>42110102</t>
  </si>
  <si>
    <t>CONTRIBUCIONES INHERENTES A LA NÓMINA</t>
  </si>
  <si>
    <t>42110102001</t>
  </si>
  <si>
    <t>APORTES A LA SEGURIDAD SOCIAL EN PENSIONES</t>
  </si>
  <si>
    <t>42110102002</t>
  </si>
  <si>
    <t>APORTES A LA SEGURIDAD SOCIAL EN SALUD</t>
  </si>
  <si>
    <t>42110102003</t>
  </si>
  <si>
    <t>APORTES DE CESANTIAS</t>
  </si>
  <si>
    <t>42110102004</t>
  </si>
  <si>
    <t>APORTES A CAJAS DE COMPENSACIÓN FAMILIAR</t>
  </si>
  <si>
    <t>42110102005</t>
  </si>
  <si>
    <t>APORTES GENERALES AL SISTEMA DE RIESGOS LABORALES</t>
  </si>
  <si>
    <t>42110102006</t>
  </si>
  <si>
    <t>APORTES AL ICBF</t>
  </si>
  <si>
    <t>42110102007</t>
  </si>
  <si>
    <t>APORTES AL SENA</t>
  </si>
  <si>
    <t>42110103</t>
  </si>
  <si>
    <t>REMUNERACIONES NO CONSTITUTIVAS DE FACTOR SAL ARIAL</t>
  </si>
  <si>
    <t>42110103001</t>
  </si>
  <si>
    <t>4211010300102</t>
  </si>
  <si>
    <t>INDEMNIZACIÓN POR VACACIONES</t>
  </si>
  <si>
    <t>4211010300103</t>
  </si>
  <si>
    <t>BONIFICACIÓN ESPECIAL DE RECREACIÓN</t>
  </si>
  <si>
    <t>42110103069</t>
  </si>
  <si>
    <t>APOYO DE SOSTENIMIENTO APRENDICES SENA</t>
  </si>
  <si>
    <t>42110103190</t>
  </si>
  <si>
    <t>APOYO DE SOSTENIMIENTO PRÁCTICAS LABORALES</t>
  </si>
  <si>
    <t>4212</t>
  </si>
  <si>
    <t>ADQUISICIÓN DE BIENES Y SERVICIOS</t>
  </si>
  <si>
    <t>421202</t>
  </si>
  <si>
    <t>ADQUISICIONES DIFERENTES DE ACTIVOS</t>
  </si>
  <si>
    <t>42120201</t>
  </si>
  <si>
    <t>MATERIALES Y SUMINISTROS</t>
  </si>
  <si>
    <t>42120201002</t>
  </si>
  <si>
    <t>PRODUCTOS ALIMENTICIOS, BEBIDAS Y TABACO; TEXTILE S, PRENDAS DE VESTIR Y PRODUCTOS DE CUERO</t>
  </si>
  <si>
    <t>42120201003</t>
  </si>
  <si>
    <t>OTROS BIENES TRANSPORTABLES (EXCEPTO PRODUCT OS METÁLICOS, MAQUINARIA Y EQUIPO)</t>
  </si>
  <si>
    <t>42120201004</t>
  </si>
  <si>
    <t>PRODUCTOS METÁLICOS Y
PAQUETES DE SOFTWARE</t>
  </si>
  <si>
    <t>42120202</t>
  </si>
  <si>
    <t>ADQUISICIÓN DE SERVICIOS</t>
  </si>
  <si>
    <t>42120202006</t>
  </si>
  <si>
    <t>SERVICIOS DE ALOJAMIENTO; SERVICIOS DE SUMINISTR O DE COMIDAS Y BEBIDAS; SERVICIOS DE TRANSPORTE;  Y S</t>
  </si>
  <si>
    <t>42120202007</t>
  </si>
  <si>
    <t>SERVICIOS FINANCIEROS Y SERVICIOS CONEXOS, SERVI CIOS INMOBILIARIOS Y SERVICIOS DE LEASING</t>
  </si>
  <si>
    <t>42120202008</t>
  </si>
  <si>
    <t>SERVICIOS PRESTADOS A LAS EMPRESAS Y SERVICIOS D E PRODUCCIÓN</t>
  </si>
  <si>
    <t>42120202009</t>
  </si>
  <si>
    <t>SERVICIOS PARA LA COMUNIDAD, SOCIALES Y PERSONALES</t>
  </si>
  <si>
    <t>42120202010C</t>
  </si>
  <si>
    <t>42120202010</t>
  </si>
  <si>
    <t>VIÁTICOS DE LOS FUNCIONARIOS EN COMISIÓN</t>
  </si>
  <si>
    <t>4213</t>
  </si>
  <si>
    <t>TRANSFERENCIAS CORRIENTES</t>
  </si>
  <si>
    <t>421313</t>
  </si>
  <si>
    <t>SENTENCIAS Y CONCILIACIONES</t>
  </si>
  <si>
    <t>42131301</t>
  </si>
  <si>
    <t>FALLOS NACIONALES</t>
  </si>
  <si>
    <t>42131301001</t>
  </si>
  <si>
    <t>SENTENCIAS</t>
  </si>
  <si>
    <t>4218</t>
  </si>
  <si>
    <t>GASTOS POR TRIBUTOS, MULTAS, SANCIONES E INTERES ES</t>
  </si>
  <si>
    <t>421801</t>
  </si>
  <si>
    <t>IMPUESTOS</t>
  </si>
  <si>
    <t>42180101</t>
  </si>
  <si>
    <t>IMPUESTO SOBRE LA RENTA Y COMPLEMENTARIOS</t>
  </si>
  <si>
    <t>42180151</t>
  </si>
  <si>
    <t>IMPUESTO SOBRE VEHÍCULOS AUTOMOTORES</t>
  </si>
  <si>
    <t>42180154</t>
  </si>
  <si>
    <t>IMPUESTO DE INDUSTRIA Y COMERCIO</t>
  </si>
  <si>
    <t>423</t>
  </si>
  <si>
    <t>INVERSIÓN</t>
  </si>
  <si>
    <t>42301</t>
  </si>
  <si>
    <t>DIRECTA</t>
  </si>
  <si>
    <t>4230117</t>
  </si>
  <si>
    <t>Bogotá Camina Segura</t>
  </si>
  <si>
    <t>423011740</t>
  </si>
  <si>
    <t>Vivienda, Ciudad y Territorio</t>
  </si>
  <si>
    <t>42301174001</t>
  </si>
  <si>
    <t>Acceso a Soluciones de Vivienda</t>
  </si>
  <si>
    <t>423011740012024004701000</t>
  </si>
  <si>
    <t>Implementación de un portafolio de Vivienda para Bogotá D.C.</t>
  </si>
  <si>
    <t>42301174002</t>
  </si>
  <si>
    <t>Ordenamiento Territorial y Desarrollo Urbano</t>
  </si>
  <si>
    <t>423011740022020009001000</t>
  </si>
  <si>
    <t>Desarrollo de Proyectos y Gestión Inmobiliaria Bogotá</t>
  </si>
  <si>
    <t>423011740022024000901000</t>
  </si>
  <si>
    <t>Formulación, Gestión y Estructuración de Proyectos de Desarrollo, Revitalización o Renovación Urbana Bogotá D.C.</t>
  </si>
  <si>
    <t>423011745</t>
  </si>
  <si>
    <t>Gobierno Territorial</t>
  </si>
  <si>
    <t>42301174599</t>
  </si>
  <si>
    <t>Fortalecimiento a la  Gestión y Dirección de la Administración Pública Territorial</t>
  </si>
  <si>
    <t>423011745992024000301000</t>
  </si>
  <si>
    <t>Fortalecimiento Institucional RenoBo Bogotá D.C.</t>
  </si>
  <si>
    <t>42303</t>
  </si>
  <si>
    <t>CUENTAS POR PAGAR INVERSIÓN</t>
  </si>
  <si>
    <t>424</t>
  </si>
  <si>
    <t>GASTOS DE OPERACIÓN COMERCIAL</t>
  </si>
  <si>
    <t>4245</t>
  </si>
  <si>
    <t>GASTOS DE COMERCIALIZACIÓN Y PRODUCCIÓN</t>
  </si>
  <si>
    <t>424501</t>
  </si>
  <si>
    <t>Materiales y suministros</t>
  </si>
  <si>
    <t>42450103C</t>
  </si>
  <si>
    <t>42450103</t>
  </si>
  <si>
    <t>Otros bienes transportables (excepto productos metálicos, maquinaria y equipo)</t>
  </si>
  <si>
    <t>42450104</t>
  </si>
  <si>
    <t>Productos Metálicos, Maquinaria Y Equipo</t>
  </si>
  <si>
    <t>424502</t>
  </si>
  <si>
    <t>42450205</t>
  </si>
  <si>
    <t>Servicios de la construcción</t>
  </si>
  <si>
    <t>42450206C</t>
  </si>
  <si>
    <t>42450206</t>
  </si>
  <si>
    <t>Servicios de alojamiento; servicios de suministro de comidas y bebidas; servicios de transporte; y servicios de distribución de electricidad, gas y agua</t>
  </si>
  <si>
    <t>42450207C</t>
  </si>
  <si>
    <t>42450207</t>
  </si>
  <si>
    <t>Servicios financieros y servicios conexos, servicios inmobiliarios y servicios de leasing</t>
  </si>
  <si>
    <t>42450208</t>
  </si>
  <si>
    <t xml:space="preserve">Servicios prestados a las empresas y servicios de producción </t>
  </si>
  <si>
    <t>42450209</t>
  </si>
  <si>
    <t>43</t>
  </si>
  <si>
    <t>DISPONIBILIDAD FINAL</t>
  </si>
  <si>
    <t>TOTAL GASTOS + DISPONIBILIDAD FINAL</t>
  </si>
  <si>
    <t>Javier Suárez Pedraza</t>
  </si>
  <si>
    <t>Christian Andres Palencia Hernandez</t>
  </si>
  <si>
    <t xml:space="preserve">GESTOR SENIOR PRESUPUESTO </t>
  </si>
  <si>
    <t>DIRECTOR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</si>
</sst>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&quot;-&quot;??_);_(@_)"/>
  </numFmts>
  <fonts count="1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Arial"/>
      <family val="2"/>
    </font>
    <font>
      <sz val="10"/>
      <color theme="0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sz val="10"/>
      <name val="Aptos Narrow"/>
      <family val="2"/>
      <scheme val="minor"/>
    </font>
    <font>
      <sz val="10"/>
      <color theme="0"/>
      <name val="Aptos Narrow"/>
      <family val="2"/>
      <scheme val="minor"/>
    </font>
    <font>
      <sz val="8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b/>
      <sz val="10"/>
      <name val="Aptos Narrow"/>
      <family val="2"/>
      <scheme val="minor"/>
    </font>
    <font>
      <b/>
      <sz val="12"/>
      <name val="Aptos Narrow"/>
      <family val="2"/>
      <scheme val="minor"/>
    </font>
    <font>
      <sz val="12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6">
    <xf numFmtId="0" fontId="0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</cellStyleXfs>
  <cellXfs count="67">
    <xf numFmtId="0" fontId="0" fillId="0" borderId="0" xfId="0"/>
    <xf numFmtId="1" fontId="3" fillId="0" borderId="0" xfId="1" applyNumberFormat="1" applyAlignment="1">
      <alignment vertical="top" wrapText="1"/>
    </xf>
    <xf numFmtId="0" fontId="3" fillId="0" borderId="0" xfId="1" applyAlignment="1">
      <alignment vertical="top" wrapText="1"/>
    </xf>
    <xf numFmtId="0" fontId="3" fillId="0" borderId="0" xfId="1"/>
    <xf numFmtId="10" fontId="3" fillId="0" borderId="0" xfId="2" applyNumberFormat="1" applyFont="1" applyFill="1"/>
    <xf numFmtId="0" fontId="4" fillId="0" borderId="0" xfId="1" applyFont="1"/>
    <xf numFmtId="1" fontId="3" fillId="0" borderId="0" xfId="1" applyNumberFormat="1" applyAlignment="1">
      <alignment vertical="top"/>
    </xf>
    <xf numFmtId="0" fontId="5" fillId="0" borderId="0" xfId="1" applyFont="1" applyAlignment="1">
      <alignment horizontal="center" vertical="top" wrapText="1"/>
    </xf>
    <xf numFmtId="0" fontId="6" fillId="0" borderId="0" xfId="1" applyFont="1" applyAlignment="1">
      <alignment horizontal="center" vertical="top"/>
    </xf>
    <xf numFmtId="164" fontId="5" fillId="0" borderId="0" xfId="1" applyNumberFormat="1" applyFont="1" applyAlignment="1">
      <alignment horizontal="center" vertical="top" wrapText="1"/>
    </xf>
    <xf numFmtId="10" fontId="5" fillId="0" borderId="0" xfId="2" applyNumberFormat="1" applyFont="1" applyFill="1" applyAlignment="1">
      <alignment horizontal="center" vertical="top" wrapText="1"/>
    </xf>
    <xf numFmtId="0" fontId="3" fillId="0" borderId="0" xfId="1" applyAlignment="1">
      <alignment horizontal="center" vertical="top" wrapText="1"/>
    </xf>
    <xf numFmtId="164" fontId="3" fillId="0" borderId="0" xfId="1" applyNumberFormat="1" applyAlignment="1">
      <alignment horizontal="center" vertical="top" wrapText="1"/>
    </xf>
    <xf numFmtId="10" fontId="3" fillId="0" borderId="0" xfId="2" applyNumberFormat="1" applyFont="1" applyFill="1" applyAlignment="1">
      <alignment horizontal="center" vertical="top" wrapText="1"/>
    </xf>
    <xf numFmtId="0" fontId="6" fillId="0" borderId="0" xfId="1" applyFont="1" applyAlignment="1" applyProtection="1">
      <alignment horizontal="center" vertical="top"/>
      <protection locked="0"/>
    </xf>
    <xf numFmtId="0" fontId="7" fillId="0" borderId="0" xfId="1" applyFont="1"/>
    <xf numFmtId="0" fontId="8" fillId="0" borderId="0" xfId="1" applyFont="1"/>
    <xf numFmtId="1" fontId="9" fillId="2" borderId="0" xfId="1" applyNumberFormat="1" applyFont="1" applyFill="1" applyAlignment="1">
      <alignment horizontal="center" vertical="top" wrapText="1"/>
    </xf>
    <xf numFmtId="0" fontId="9" fillId="2" borderId="0" xfId="1" applyFont="1" applyFill="1" applyAlignment="1">
      <alignment horizontal="center" vertical="top" wrapText="1"/>
    </xf>
    <xf numFmtId="10" fontId="9" fillId="2" borderId="0" xfId="3" applyNumberFormat="1" applyFont="1" applyFill="1" applyAlignment="1">
      <alignment horizontal="center"/>
    </xf>
    <xf numFmtId="43" fontId="9" fillId="2" borderId="0" xfId="4" applyFont="1" applyFill="1" applyAlignment="1">
      <alignment horizontal="center" vertical="top" wrapText="1"/>
    </xf>
    <xf numFmtId="49" fontId="10" fillId="3" borderId="1" xfId="1" applyNumberFormat="1" applyFont="1" applyFill="1" applyBorder="1" applyAlignment="1">
      <alignment horizontal="left" vertical="center"/>
    </xf>
    <xf numFmtId="0" fontId="2" fillId="3" borderId="1" xfId="1" applyFont="1" applyFill="1" applyBorder="1" applyAlignment="1">
      <alignment horizontal="left" vertical="center"/>
    </xf>
    <xf numFmtId="4" fontId="2" fillId="3" borderId="1" xfId="1" applyNumberFormat="1" applyFont="1" applyFill="1" applyBorder="1" applyAlignment="1">
      <alignment horizontal="right" vertical="center"/>
    </xf>
    <xf numFmtId="10" fontId="2" fillId="3" borderId="1" xfId="3" applyNumberFormat="1" applyFont="1" applyFill="1" applyBorder="1" applyAlignment="1">
      <alignment horizontal="right" vertical="center"/>
    </xf>
    <xf numFmtId="4" fontId="8" fillId="0" borderId="0" xfId="1" applyNumberFormat="1" applyFont="1"/>
    <xf numFmtId="4" fontId="7" fillId="0" borderId="0" xfId="1" applyNumberFormat="1" applyFont="1"/>
    <xf numFmtId="49" fontId="10" fillId="0" borderId="1" xfId="1" applyNumberFormat="1" applyFont="1" applyBorder="1" applyAlignment="1">
      <alignment horizontal="left" vertical="center"/>
    </xf>
    <xf numFmtId="0" fontId="2" fillId="0" borderId="1" xfId="1" applyFont="1" applyBorder="1" applyAlignment="1">
      <alignment horizontal="left" vertical="center"/>
    </xf>
    <xf numFmtId="4" fontId="2" fillId="0" borderId="1" xfId="1" applyNumberFormat="1" applyFont="1" applyBorder="1" applyAlignment="1">
      <alignment horizontal="right" vertical="center"/>
    </xf>
    <xf numFmtId="10" fontId="2" fillId="0" borderId="1" xfId="3" applyNumberFormat="1" applyFont="1" applyFill="1" applyBorder="1" applyAlignment="1">
      <alignment horizontal="right" vertical="center"/>
    </xf>
    <xf numFmtId="49" fontId="11" fillId="0" borderId="1" xfId="1" applyNumberFormat="1" applyFont="1" applyBorder="1" applyAlignment="1">
      <alignment horizontal="left" vertical="center"/>
    </xf>
    <xf numFmtId="0" fontId="1" fillId="0" borderId="1" xfId="1" applyFont="1" applyBorder="1" applyAlignment="1">
      <alignment vertical="center"/>
    </xf>
    <xf numFmtId="4" fontId="11" fillId="0" borderId="1" xfId="4" applyNumberFormat="1" applyFont="1" applyFill="1" applyBorder="1" applyAlignment="1">
      <alignment horizontal="right" vertical="center"/>
    </xf>
    <xf numFmtId="10" fontId="11" fillId="0" borderId="1" xfId="3" applyNumberFormat="1" applyFont="1" applyFill="1" applyBorder="1" applyAlignment="1">
      <alignment horizontal="right" vertical="center"/>
    </xf>
    <xf numFmtId="4" fontId="10" fillId="0" borderId="1" xfId="1" applyNumberFormat="1" applyFont="1" applyBorder="1" applyAlignment="1">
      <alignment horizontal="right"/>
    </xf>
    <xf numFmtId="10" fontId="10" fillId="0" borderId="1" xfId="1" applyNumberFormat="1" applyFont="1" applyBorder="1" applyAlignment="1">
      <alignment horizontal="right"/>
    </xf>
    <xf numFmtId="0" fontId="12" fillId="0" borderId="0" xfId="1" applyFont="1"/>
    <xf numFmtId="0" fontId="1" fillId="0" borderId="1" xfId="1" applyFont="1" applyBorder="1" applyAlignment="1">
      <alignment horizontal="left" vertical="center"/>
    </xf>
    <xf numFmtId="4" fontId="11" fillId="0" borderId="1" xfId="1" applyNumberFormat="1" applyFont="1" applyBorder="1" applyAlignment="1">
      <alignment horizontal="right"/>
    </xf>
    <xf numFmtId="10" fontId="11" fillId="0" borderId="1" xfId="1" applyNumberFormat="1" applyFont="1" applyBorder="1" applyAlignment="1">
      <alignment horizontal="right"/>
    </xf>
    <xf numFmtId="0" fontId="2" fillId="0" borderId="1" xfId="1" applyFont="1" applyBorder="1" applyAlignment="1">
      <alignment horizontal="left" vertical="center" wrapText="1"/>
    </xf>
    <xf numFmtId="4" fontId="10" fillId="0" borderId="1" xfId="4" applyNumberFormat="1" applyFont="1" applyFill="1" applyBorder="1" applyAlignment="1">
      <alignment horizontal="right" vertical="center"/>
    </xf>
    <xf numFmtId="10" fontId="10" fillId="0" borderId="1" xfId="3" applyNumberFormat="1" applyFont="1" applyFill="1" applyBorder="1" applyAlignment="1">
      <alignment horizontal="right" vertical="center"/>
    </xf>
    <xf numFmtId="4" fontId="10" fillId="3" borderId="1" xfId="1" applyNumberFormat="1" applyFont="1" applyFill="1" applyBorder="1" applyAlignment="1">
      <alignment horizontal="right"/>
    </xf>
    <xf numFmtId="10" fontId="10" fillId="3" borderId="1" xfId="1" applyNumberFormat="1" applyFont="1" applyFill="1" applyBorder="1" applyAlignment="1">
      <alignment horizontal="right"/>
    </xf>
    <xf numFmtId="0" fontId="2" fillId="0" borderId="1" xfId="1" applyFont="1" applyBorder="1" applyAlignment="1">
      <alignment vertical="center"/>
    </xf>
    <xf numFmtId="0" fontId="2" fillId="3" borderId="1" xfId="1" applyFont="1" applyFill="1" applyBorder="1" applyAlignment="1">
      <alignment vertical="center"/>
    </xf>
    <xf numFmtId="4" fontId="10" fillId="3" borderId="1" xfId="4" applyNumberFormat="1" applyFont="1" applyFill="1" applyBorder="1" applyAlignment="1">
      <alignment horizontal="right" vertical="center"/>
    </xf>
    <xf numFmtId="10" fontId="10" fillId="3" borderId="1" xfId="3" applyNumberFormat="1" applyFont="1" applyFill="1" applyBorder="1" applyAlignment="1">
      <alignment horizontal="right" vertical="center"/>
    </xf>
    <xf numFmtId="49" fontId="11" fillId="3" borderId="1" xfId="1" applyNumberFormat="1" applyFont="1" applyFill="1" applyBorder="1" applyAlignment="1">
      <alignment horizontal="left" vertical="center"/>
    </xf>
    <xf numFmtId="0" fontId="1" fillId="3" borderId="1" xfId="1" applyFont="1" applyFill="1" applyBorder="1" applyAlignment="1">
      <alignment vertical="center"/>
    </xf>
    <xf numFmtId="4" fontId="11" fillId="3" borderId="1" xfId="4" applyNumberFormat="1" applyFont="1" applyFill="1" applyBorder="1" applyAlignment="1">
      <alignment horizontal="right" vertical="center"/>
    </xf>
    <xf numFmtId="4" fontId="11" fillId="3" borderId="1" xfId="1" applyNumberFormat="1" applyFont="1" applyFill="1" applyBorder="1" applyAlignment="1">
      <alignment horizontal="right"/>
    </xf>
    <xf numFmtId="10" fontId="11" fillId="3" borderId="1" xfId="1" applyNumberFormat="1" applyFont="1" applyFill="1" applyBorder="1" applyAlignment="1">
      <alignment horizontal="right"/>
    </xf>
    <xf numFmtId="0" fontId="10" fillId="0" borderId="0" xfId="1" applyFont="1" applyAlignment="1">
      <alignment horizontal="left" vertical="center"/>
    </xf>
    <xf numFmtId="0" fontId="2" fillId="0" borderId="0" xfId="1" applyFont="1" applyAlignment="1">
      <alignment vertical="center"/>
    </xf>
    <xf numFmtId="4" fontId="10" fillId="0" borderId="0" xfId="4" applyNumberFormat="1" applyFont="1" applyFill="1" applyAlignment="1">
      <alignment horizontal="right" vertical="center"/>
    </xf>
    <xf numFmtId="10" fontId="10" fillId="0" borderId="0" xfId="3" applyNumberFormat="1" applyFont="1" applyFill="1" applyAlignment="1">
      <alignment horizontal="right" vertical="center"/>
    </xf>
    <xf numFmtId="0" fontId="7" fillId="0" borderId="0" xfId="1" applyFont="1" applyAlignment="1">
      <alignment horizontal="center"/>
    </xf>
    <xf numFmtId="0" fontId="1" fillId="0" borderId="0" xfId="5"/>
    <xf numFmtId="10" fontId="1" fillId="0" borderId="0" xfId="3" applyNumberFormat="1" applyFont="1" applyFill="1" applyAlignment="1">
      <alignment horizontal="center"/>
    </xf>
    <xf numFmtId="10" fontId="1" fillId="0" borderId="0" xfId="3" applyNumberFormat="1" applyFont="1" applyFill="1" applyAlignment="1"/>
    <xf numFmtId="10" fontId="7" fillId="0" borderId="0" xfId="3" applyNumberFormat="1" applyFont="1" applyFill="1" applyAlignment="1">
      <alignment horizontal="center"/>
    </xf>
    <xf numFmtId="0" fontId="13" fillId="0" borderId="0" xfId="1" applyFont="1" applyAlignment="1">
      <alignment horizontal="center"/>
    </xf>
    <xf numFmtId="0" fontId="14" fillId="0" borderId="0" xfId="1" applyFont="1" applyAlignment="1">
      <alignment horizontal="center"/>
    </xf>
    <xf numFmtId="0" fontId="7" fillId="0" borderId="0" xfId="1" applyFont="1" applyAlignment="1">
      <alignment horizontal="left"/>
    </xf>
  </cellXfs>
  <cellStyles count="6">
    <cellStyle name="Millares 2 2 2" xfId="4" xr:uid="{BDD3D928-0964-48C2-9C7C-6D02AA451279}"/>
    <cellStyle name="Normal" xfId="0" builtinId="0"/>
    <cellStyle name="Normal 2 2 2" xfId="1" xr:uid="{1157689C-F6EA-4B95-99C2-734F1850F533}"/>
    <cellStyle name="Normal 4 2" xfId="5" xr:uid="{8965314B-4848-413C-9397-D616AECF5E53}"/>
    <cellStyle name="Percent 2 2 2" xfId="2" xr:uid="{8029C70D-1642-4348-90C4-A99D13D0D766}"/>
    <cellStyle name="Porcentaje 2 2 2" xfId="3" xr:uid="{F57D3D4C-7D50-428A-9444-6C365E5A2D5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322118</xdr:colOff>
      <xdr:row>89</xdr:row>
      <xdr:rowOff>131618</xdr:rowOff>
    </xdr:from>
    <xdr:to>
      <xdr:col>13</xdr:col>
      <xdr:colOff>675409</xdr:colOff>
      <xdr:row>89</xdr:row>
      <xdr:rowOff>131618</xdr:rowOff>
    </xdr:to>
    <xdr:cxnSp macro="">
      <xdr:nvCxnSpPr>
        <xdr:cNvPr id="2" name="2 Conector recto">
          <a:extLst>
            <a:ext uri="{FF2B5EF4-FFF2-40B4-BE49-F238E27FC236}">
              <a16:creationId xmlns:a16="http://schemas.microsoft.com/office/drawing/2014/main" id="{726827B2-39A5-46EA-8DEC-1B47B5913D70}"/>
            </a:ext>
          </a:extLst>
        </xdr:cNvPr>
        <xdr:cNvCxnSpPr/>
      </xdr:nvCxnSpPr>
      <xdr:spPr>
        <a:xfrm>
          <a:off x="18581543" y="20257943"/>
          <a:ext cx="2353541" cy="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1066596</xdr:colOff>
      <xdr:row>89</xdr:row>
      <xdr:rowOff>167069</xdr:rowOff>
    </xdr:from>
    <xdr:to>
      <xdr:col>2</xdr:col>
      <xdr:colOff>4190796</xdr:colOff>
      <xdr:row>89</xdr:row>
      <xdr:rowOff>167069</xdr:rowOff>
    </xdr:to>
    <xdr:cxnSp macro="">
      <xdr:nvCxnSpPr>
        <xdr:cNvPr id="3" name="2 Conector recto">
          <a:extLst>
            <a:ext uri="{FF2B5EF4-FFF2-40B4-BE49-F238E27FC236}">
              <a16:creationId xmlns:a16="http://schemas.microsoft.com/office/drawing/2014/main" id="{54B35413-B5C4-46B2-ABAA-D335641CDA9B}"/>
            </a:ext>
          </a:extLst>
        </xdr:cNvPr>
        <xdr:cNvCxnSpPr/>
      </xdr:nvCxnSpPr>
      <xdr:spPr>
        <a:xfrm>
          <a:off x="2952546" y="20293394"/>
          <a:ext cx="3124200" cy="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322118</xdr:colOff>
      <xdr:row>89</xdr:row>
      <xdr:rowOff>131618</xdr:rowOff>
    </xdr:from>
    <xdr:to>
      <xdr:col>13</xdr:col>
      <xdr:colOff>675409</xdr:colOff>
      <xdr:row>89</xdr:row>
      <xdr:rowOff>131618</xdr:rowOff>
    </xdr:to>
    <xdr:cxnSp macro="">
      <xdr:nvCxnSpPr>
        <xdr:cNvPr id="4" name="2 Conector recto">
          <a:extLst>
            <a:ext uri="{FF2B5EF4-FFF2-40B4-BE49-F238E27FC236}">
              <a16:creationId xmlns:a16="http://schemas.microsoft.com/office/drawing/2014/main" id="{EC63283C-7F1E-48E3-8D8E-851B8AC250B5}"/>
            </a:ext>
          </a:extLst>
        </xdr:cNvPr>
        <xdr:cNvCxnSpPr/>
      </xdr:nvCxnSpPr>
      <xdr:spPr>
        <a:xfrm>
          <a:off x="18581543" y="20257943"/>
          <a:ext cx="2353541" cy="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78442</xdr:colOff>
      <xdr:row>0</xdr:row>
      <xdr:rowOff>89646</xdr:rowOff>
    </xdr:from>
    <xdr:to>
      <xdr:col>2</xdr:col>
      <xdr:colOff>2151531</xdr:colOff>
      <xdr:row>5</xdr:row>
      <xdr:rowOff>244847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C5FCC8DF-786D-46CB-A1D1-7A1A1B8729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442" y="89646"/>
          <a:ext cx="3959039" cy="116653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PRESUPUESTO%202025\EJECUCIONES%202025\04_ABRIL%202025\EJECUCION%20GASTOS%20202504%20FORMULA%20SEUS.xlsx" TargetMode="External"/><Relationship Id="rId1" Type="http://schemas.openxmlformats.org/officeDocument/2006/relationships/externalLinkPath" Target="EJECUCION%20GASTOS%20202504%20FORMULA%20SEU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TOS"/>
      <sheetName val="FIRMA FORMULA"/>
      <sheetName val="SAP BOGDATA"/>
    </sheetNames>
    <sheetDataSet>
      <sheetData sheetId="0">
        <row r="1">
          <cell r="A1" t="str">
            <v>Código
1</v>
          </cell>
          <cell r="B1" t="str">
            <v>Nombre  2</v>
          </cell>
          <cell r="C1" t="str">
            <v>Apropiación Inicial
3</v>
          </cell>
          <cell r="D1" t="str">
            <v>Modificaciones
Mes
4</v>
          </cell>
          <cell r="E1" t="str">
            <v>Presupuestales
Acumulados
5</v>
          </cell>
          <cell r="F1" t="str">
            <v>Apropiación
Vigente
6 = (3
+ 5)</v>
          </cell>
          <cell r="G1" t="str">
            <v>Apropiaciones
Suspendidas
7</v>
          </cell>
          <cell r="H1" t="str">
            <v>Apropiación
Disponible
8 =
(6 - 7)</v>
          </cell>
          <cell r="I1" t="str">
            <v>Compromisos 
Mes
9</v>
          </cell>
          <cell r="J1" t="str">
            <v>Compromisos
Acumulados
10</v>
          </cell>
          <cell r="K1" t="str">
            <v>% Ejec.
11 = (10
/ 8)</v>
          </cell>
          <cell r="L1" t="str">
            <v>Giros Mes
12</v>
          </cell>
          <cell r="M1" t="str">
            <v>Giros
Acumulados
13</v>
          </cell>
          <cell r="N1" t="str">
            <v>% Giros
14 =
(13 / 8)</v>
          </cell>
        </row>
        <row r="2">
          <cell r="A2" t="str">
            <v>42</v>
          </cell>
          <cell r="B2" t="str">
            <v>GASTOS</v>
          </cell>
          <cell r="C2">
            <v>538478104000</v>
          </cell>
          <cell r="D2">
            <v>63455811769</v>
          </cell>
          <cell r="E2">
            <v>63455811769</v>
          </cell>
          <cell r="F2">
            <v>601933915769</v>
          </cell>
          <cell r="G2">
            <v>0</v>
          </cell>
          <cell r="H2">
            <v>601933915769</v>
          </cell>
          <cell r="I2">
            <v>114811552392</v>
          </cell>
          <cell r="J2">
            <v>327881814920</v>
          </cell>
          <cell r="K2">
            <v>0.54471397329574789</v>
          </cell>
          <cell r="L2">
            <v>10937724232</v>
          </cell>
          <cell r="M2">
            <v>27714762843</v>
          </cell>
          <cell r="N2">
            <v>4.6042866362818312E-2</v>
          </cell>
        </row>
        <row r="3">
          <cell r="A3" t="str">
            <v>421</v>
          </cell>
          <cell r="B3" t="str">
            <v>FUNCIONAMIENTO</v>
          </cell>
          <cell r="C3">
            <v>53905326000</v>
          </cell>
          <cell r="D3">
            <v>-4303005505</v>
          </cell>
          <cell r="E3">
            <v>-4303005505</v>
          </cell>
          <cell r="F3">
            <v>49602320495</v>
          </cell>
          <cell r="G3">
            <v>0</v>
          </cell>
          <cell r="H3">
            <v>49602320495</v>
          </cell>
          <cell r="I3">
            <v>3005260381</v>
          </cell>
          <cell r="J3">
            <v>22685609971</v>
          </cell>
          <cell r="K3">
            <v>0.45734977203912769</v>
          </cell>
          <cell r="L3">
            <v>5542830117</v>
          </cell>
          <cell r="M3">
            <v>13579261226</v>
          </cell>
          <cell r="N3">
            <v>0.27376262018565872</v>
          </cell>
        </row>
        <row r="4">
          <cell r="A4" t="str">
            <v>4211</v>
          </cell>
          <cell r="B4" t="str">
            <v>GASTOS DE PERSONAL</v>
          </cell>
          <cell r="C4">
            <v>19490091000</v>
          </cell>
          <cell r="D4">
            <v>-27732527</v>
          </cell>
          <cell r="E4">
            <v>-627732527</v>
          </cell>
          <cell r="F4">
            <v>18862358473</v>
          </cell>
          <cell r="G4">
            <v>0</v>
          </cell>
          <cell r="H4">
            <v>18862358473</v>
          </cell>
          <cell r="I4">
            <v>1030925005</v>
          </cell>
          <cell r="J4">
            <v>5215467938</v>
          </cell>
          <cell r="K4">
            <v>0.27650136887524096</v>
          </cell>
          <cell r="L4">
            <v>1064247965</v>
          </cell>
          <cell r="M4">
            <v>5215005783</v>
          </cell>
          <cell r="N4">
            <v>0.27647686743229249</v>
          </cell>
        </row>
        <row r="5">
          <cell r="A5" t="str">
            <v>421101</v>
          </cell>
          <cell r="B5" t="str">
            <v>PLANTA DE PERSONAL PERMANENTE</v>
          </cell>
          <cell r="C5">
            <v>19490091000</v>
          </cell>
          <cell r="D5">
            <v>-27732527</v>
          </cell>
          <cell r="E5">
            <v>-627732527</v>
          </cell>
          <cell r="F5">
            <v>18862358473</v>
          </cell>
          <cell r="G5">
            <v>0</v>
          </cell>
          <cell r="H5">
            <v>18862358473</v>
          </cell>
          <cell r="I5">
            <v>1030925005</v>
          </cell>
          <cell r="J5">
            <v>5215467938</v>
          </cell>
          <cell r="K5">
            <v>0.27650136887524096</v>
          </cell>
          <cell r="L5">
            <v>1064247965</v>
          </cell>
          <cell r="M5">
            <v>5215005783</v>
          </cell>
          <cell r="N5">
            <v>0.27647686743229249</v>
          </cell>
        </row>
        <row r="6">
          <cell r="A6" t="str">
            <v>42110101</v>
          </cell>
          <cell r="B6" t="str">
            <v>FACTORES CONSTITUTIVOS DE SALARIO</v>
          </cell>
          <cell r="C6">
            <v>13066324000</v>
          </cell>
          <cell r="D6">
            <v>0</v>
          </cell>
          <cell r="E6">
            <v>150000000</v>
          </cell>
          <cell r="F6">
            <v>13216324000</v>
          </cell>
          <cell r="G6">
            <v>0</v>
          </cell>
          <cell r="H6">
            <v>13216324000</v>
          </cell>
          <cell r="I6">
            <v>843097998</v>
          </cell>
          <cell r="J6">
            <v>3416914600</v>
          </cell>
          <cell r="K6">
            <v>0.25853744203002288</v>
          </cell>
          <cell r="L6">
            <v>847895731</v>
          </cell>
          <cell r="M6">
            <v>3416452445</v>
          </cell>
          <cell r="N6">
            <v>0.25850247353197453</v>
          </cell>
        </row>
        <row r="7">
          <cell r="A7" t="str">
            <v>42110101001</v>
          </cell>
          <cell r="B7" t="str">
            <v>FACTORES SALARIALES COMUNES</v>
          </cell>
          <cell r="C7">
            <v>13066324000</v>
          </cell>
          <cell r="D7">
            <v>0</v>
          </cell>
          <cell r="E7">
            <v>150000000</v>
          </cell>
          <cell r="F7">
            <v>13216324000</v>
          </cell>
          <cell r="G7">
            <v>0</v>
          </cell>
          <cell r="H7">
            <v>13216324000</v>
          </cell>
          <cell r="I7">
            <v>843097998</v>
          </cell>
          <cell r="J7">
            <v>3416914600</v>
          </cell>
          <cell r="K7">
            <v>0.25853744203002288</v>
          </cell>
          <cell r="L7">
            <v>847895731</v>
          </cell>
          <cell r="M7">
            <v>3416452445</v>
          </cell>
          <cell r="N7">
            <v>0.25850247353197453</v>
          </cell>
        </row>
        <row r="8">
          <cell r="A8" t="str">
            <v>4211010100101</v>
          </cell>
          <cell r="B8" t="str">
            <v>SUELDO BÁSICO</v>
          </cell>
          <cell r="C8">
            <v>7646585000</v>
          </cell>
          <cell r="D8">
            <v>0</v>
          </cell>
          <cell r="E8">
            <v>0</v>
          </cell>
          <cell r="F8">
            <v>7646585000</v>
          </cell>
          <cell r="G8">
            <v>0</v>
          </cell>
          <cell r="H8">
            <v>7646585000</v>
          </cell>
          <cell r="I8">
            <v>619034889</v>
          </cell>
          <cell r="J8">
            <v>2431779680</v>
          </cell>
          <cell r="K8">
            <v>0.31802166326536618</v>
          </cell>
          <cell r="L8">
            <v>621700296</v>
          </cell>
          <cell r="M8">
            <v>2431317525</v>
          </cell>
          <cell r="N8">
            <v>0.31796122386660186</v>
          </cell>
        </row>
        <row r="9">
          <cell r="A9" t="str">
            <v>4211010100102</v>
          </cell>
          <cell r="B9" t="str">
            <v>HORAS EXTRAS, DOMINICALES, FESTIVOS Y RECARGOS</v>
          </cell>
          <cell r="C9">
            <v>340595000</v>
          </cell>
          <cell r="D9">
            <v>0</v>
          </cell>
          <cell r="E9">
            <v>-264000000</v>
          </cell>
          <cell r="F9">
            <v>76595000</v>
          </cell>
          <cell r="G9">
            <v>0</v>
          </cell>
          <cell r="H9">
            <v>76595000</v>
          </cell>
          <cell r="I9">
            <v>3866448</v>
          </cell>
          <cell r="J9">
            <v>12342275</v>
          </cell>
          <cell r="K9">
            <v>0.16113682355245121</v>
          </cell>
          <cell r="L9">
            <v>3866448</v>
          </cell>
          <cell r="M9">
            <v>12342275</v>
          </cell>
          <cell r="N9">
            <v>0.16113682355245121</v>
          </cell>
        </row>
        <row r="10">
          <cell r="A10" t="str">
            <v>4211010100103</v>
          </cell>
          <cell r="B10" t="str">
            <v>GASTOS DE REPRESENTACIÓN</v>
          </cell>
          <cell r="C10">
            <v>1042714000</v>
          </cell>
          <cell r="D10">
            <v>0</v>
          </cell>
          <cell r="E10">
            <v>0</v>
          </cell>
          <cell r="F10">
            <v>1042714000</v>
          </cell>
          <cell r="G10">
            <v>0</v>
          </cell>
          <cell r="H10">
            <v>1042714000</v>
          </cell>
          <cell r="I10">
            <v>79821571</v>
          </cell>
          <cell r="J10">
            <v>313140671</v>
          </cell>
          <cell r="K10">
            <v>0.30031309735939099</v>
          </cell>
          <cell r="L10">
            <v>80621193</v>
          </cell>
          <cell r="M10">
            <v>313140671</v>
          </cell>
          <cell r="N10">
            <v>0.30031309735939099</v>
          </cell>
        </row>
        <row r="11">
          <cell r="A11" t="str">
            <v>4211010100104</v>
          </cell>
          <cell r="B11" t="str">
            <v>SUBSIDIO DE ALIMENTACIÓN</v>
          </cell>
          <cell r="C11">
            <v>1177000</v>
          </cell>
          <cell r="D11">
            <v>0</v>
          </cell>
          <cell r="E11">
            <v>500000</v>
          </cell>
          <cell r="F11">
            <v>1677000</v>
          </cell>
          <cell r="G11">
            <v>0</v>
          </cell>
          <cell r="H11">
            <v>1677000</v>
          </cell>
          <cell r="I11">
            <v>92458</v>
          </cell>
          <cell r="J11">
            <v>369832</v>
          </cell>
          <cell r="K11">
            <v>0.22053190220632082</v>
          </cell>
          <cell r="L11">
            <v>92458</v>
          </cell>
          <cell r="M11">
            <v>369832</v>
          </cell>
          <cell r="N11">
            <v>0.22053190220632082</v>
          </cell>
        </row>
        <row r="12">
          <cell r="A12" t="str">
            <v>4211010100105</v>
          </cell>
          <cell r="B12" t="str">
            <v>AUXILIO DE TRANSPORTE</v>
          </cell>
          <cell r="C12">
            <v>2003000</v>
          </cell>
          <cell r="D12">
            <v>0</v>
          </cell>
          <cell r="E12">
            <v>1000000</v>
          </cell>
          <cell r="F12">
            <v>3003000</v>
          </cell>
          <cell r="G12">
            <v>0</v>
          </cell>
          <cell r="H12">
            <v>3003000</v>
          </cell>
          <cell r="I12">
            <v>200000</v>
          </cell>
          <cell r="J12">
            <v>800000</v>
          </cell>
          <cell r="K12">
            <v>0.26640026640026643</v>
          </cell>
          <cell r="L12">
            <v>200000</v>
          </cell>
          <cell r="M12">
            <v>800000</v>
          </cell>
          <cell r="N12">
            <v>0.26640026640026643</v>
          </cell>
        </row>
        <row r="13">
          <cell r="A13" t="str">
            <v>4211010100106</v>
          </cell>
          <cell r="B13" t="str">
            <v>PRIMA DE SERVICIO</v>
          </cell>
          <cell r="C13">
            <v>748685000</v>
          </cell>
          <cell r="D13">
            <v>0</v>
          </cell>
          <cell r="E13">
            <v>0</v>
          </cell>
          <cell r="F13">
            <v>748685000</v>
          </cell>
          <cell r="G13">
            <v>0</v>
          </cell>
          <cell r="H13">
            <v>748685000</v>
          </cell>
          <cell r="I13">
            <v>14887611</v>
          </cell>
          <cell r="J13">
            <v>71702047</v>
          </cell>
          <cell r="K13">
            <v>9.5770647201426501E-2</v>
          </cell>
          <cell r="L13">
            <v>14887611</v>
          </cell>
          <cell r="M13">
            <v>71702047</v>
          </cell>
          <cell r="N13">
            <v>9.5770647201426501E-2</v>
          </cell>
        </row>
        <row r="14">
          <cell r="A14" t="str">
            <v>4211010100107</v>
          </cell>
          <cell r="B14" t="str">
            <v>BONIFICACIÓN POR SERVICIOS PRESTADOS</v>
          </cell>
          <cell r="C14">
            <v>448072000</v>
          </cell>
          <cell r="D14">
            <v>0</v>
          </cell>
          <cell r="E14">
            <v>-137500000</v>
          </cell>
          <cell r="F14">
            <v>310572000</v>
          </cell>
          <cell r="G14">
            <v>0</v>
          </cell>
          <cell r="H14">
            <v>310572000</v>
          </cell>
          <cell r="I14">
            <v>7058165</v>
          </cell>
          <cell r="J14">
            <v>99224420</v>
          </cell>
          <cell r="K14">
            <v>0.3194892649691537</v>
          </cell>
          <cell r="L14">
            <v>7058165</v>
          </cell>
          <cell r="M14">
            <v>99224420</v>
          </cell>
          <cell r="N14">
            <v>0.3194892649691537</v>
          </cell>
        </row>
        <row r="15">
          <cell r="A15" t="str">
            <v>4211010100108</v>
          </cell>
          <cell r="B15" t="str">
            <v>PRESTACIONES SOCIALES</v>
          </cell>
          <cell r="C15">
            <v>1549053000</v>
          </cell>
          <cell r="D15">
            <v>0</v>
          </cell>
          <cell r="E15">
            <v>0</v>
          </cell>
          <cell r="F15">
            <v>1549053000</v>
          </cell>
          <cell r="G15">
            <v>0</v>
          </cell>
          <cell r="H15">
            <v>1549053000</v>
          </cell>
          <cell r="I15">
            <v>18194237</v>
          </cell>
          <cell r="J15">
            <v>97399635</v>
          </cell>
          <cell r="K15">
            <v>6.2876889945018027E-2</v>
          </cell>
          <cell r="L15">
            <v>18194237</v>
          </cell>
          <cell r="M15">
            <v>97399635</v>
          </cell>
          <cell r="N15">
            <v>6.2876889945018027E-2</v>
          </cell>
        </row>
        <row r="16">
          <cell r="A16" t="str">
            <v>421101010010801</v>
          </cell>
          <cell r="B16" t="str">
            <v>PRIMA DE NAVIDAD</v>
          </cell>
          <cell r="C16">
            <v>1083358000</v>
          </cell>
          <cell r="D16">
            <v>0</v>
          </cell>
          <cell r="E16">
            <v>0</v>
          </cell>
          <cell r="F16">
            <v>1083358000</v>
          </cell>
          <cell r="G16">
            <v>0</v>
          </cell>
          <cell r="H16">
            <v>1083358000</v>
          </cell>
          <cell r="I16">
            <v>0</v>
          </cell>
          <cell r="J16">
            <v>4272728</v>
          </cell>
          <cell r="K16">
            <v>3.9439668142940741E-3</v>
          </cell>
          <cell r="L16">
            <v>0</v>
          </cell>
          <cell r="M16">
            <v>4272728</v>
          </cell>
          <cell r="N16">
            <v>3.9439668142940741E-3</v>
          </cell>
        </row>
        <row r="17">
          <cell r="A17" t="str">
            <v>421101010010802</v>
          </cell>
          <cell r="B17" t="str">
            <v>PRIMA DE VACACIONES</v>
          </cell>
          <cell r="C17">
            <v>465695000</v>
          </cell>
          <cell r="D17">
            <v>0</v>
          </cell>
          <cell r="E17">
            <v>0</v>
          </cell>
          <cell r="F17">
            <v>465695000</v>
          </cell>
          <cell r="G17">
            <v>0</v>
          </cell>
          <cell r="H17">
            <v>465695000</v>
          </cell>
          <cell r="I17">
            <v>18194237</v>
          </cell>
          <cell r="J17">
            <v>93126907</v>
          </cell>
          <cell r="K17">
            <v>0.19997403236023578</v>
          </cell>
          <cell r="L17">
            <v>18194237</v>
          </cell>
          <cell r="M17">
            <v>93126907</v>
          </cell>
          <cell r="N17">
            <v>0.19997403236023578</v>
          </cell>
        </row>
        <row r="18">
          <cell r="A18" t="str">
            <v>4211010100109</v>
          </cell>
          <cell r="B18" t="str">
            <v>PRIMA TÉCNICA SALARIAL</v>
          </cell>
          <cell r="C18">
            <v>1287440000</v>
          </cell>
          <cell r="D18">
            <v>0</v>
          </cell>
          <cell r="E18">
            <v>550000000</v>
          </cell>
          <cell r="F18">
            <v>1837440000</v>
          </cell>
          <cell r="G18">
            <v>0</v>
          </cell>
          <cell r="H18">
            <v>1837440000</v>
          </cell>
          <cell r="I18">
            <v>99942619</v>
          </cell>
          <cell r="J18">
            <v>390156040</v>
          </cell>
          <cell r="K18">
            <v>0.21233675113200975</v>
          </cell>
          <cell r="L18">
            <v>101275323</v>
          </cell>
          <cell r="M18">
            <v>390156040</v>
          </cell>
          <cell r="N18">
            <v>0.21233675113200975</v>
          </cell>
        </row>
        <row r="19">
          <cell r="A19" t="str">
            <v>42110102</v>
          </cell>
          <cell r="B19" t="str">
            <v>CONTRIBUCIONES INHERENTES A LA NÓMINA</v>
          </cell>
          <cell r="C19">
            <v>6131286000</v>
          </cell>
          <cell r="D19">
            <v>-27732527</v>
          </cell>
          <cell r="E19">
            <v>-777732527</v>
          </cell>
          <cell r="F19">
            <v>5353553473</v>
          </cell>
          <cell r="G19">
            <v>0</v>
          </cell>
          <cell r="H19">
            <v>5353553473</v>
          </cell>
          <cell r="I19">
            <v>186470673</v>
          </cell>
          <cell r="J19">
            <v>1759109896</v>
          </cell>
          <cell r="K19">
            <v>0.32858734014180641</v>
          </cell>
          <cell r="L19">
            <v>214995900</v>
          </cell>
          <cell r="M19">
            <v>1759109896</v>
          </cell>
          <cell r="N19">
            <v>0.32858734014180641</v>
          </cell>
        </row>
        <row r="20">
          <cell r="A20" t="str">
            <v>42110102001</v>
          </cell>
          <cell r="B20" t="str">
            <v>APORTES A LA SEGURIDAD SOCIAL EN PENSIONES</v>
          </cell>
          <cell r="C20">
            <v>1289658000</v>
          </cell>
          <cell r="D20">
            <v>0</v>
          </cell>
          <cell r="E20">
            <v>0</v>
          </cell>
          <cell r="F20">
            <v>1289658000</v>
          </cell>
          <cell r="G20">
            <v>0</v>
          </cell>
          <cell r="H20">
            <v>1289658000</v>
          </cell>
          <cell r="I20">
            <v>95009900</v>
          </cell>
          <cell r="J20">
            <v>383219700</v>
          </cell>
          <cell r="K20">
            <v>0.29714831373899125</v>
          </cell>
          <cell r="L20">
            <v>95585600</v>
          </cell>
          <cell r="M20">
            <v>383219700</v>
          </cell>
          <cell r="N20">
            <v>0.29714831373899125</v>
          </cell>
        </row>
        <row r="21">
          <cell r="A21" t="str">
            <v>42110102002</v>
          </cell>
          <cell r="B21" t="str">
            <v>APORTES A LA SEGURIDAD SOCIAL EN SALUD</v>
          </cell>
          <cell r="C21">
            <v>824934000</v>
          </cell>
          <cell r="D21">
            <v>0</v>
          </cell>
          <cell r="E21">
            <v>-150000000</v>
          </cell>
          <cell r="F21">
            <v>674934000</v>
          </cell>
          <cell r="G21">
            <v>0</v>
          </cell>
          <cell r="H21">
            <v>674934000</v>
          </cell>
          <cell r="I21">
            <v>44776700</v>
          </cell>
          <cell r="J21">
            <v>188725400</v>
          </cell>
          <cell r="K21">
            <v>0.27962052585882474</v>
          </cell>
          <cell r="L21">
            <v>44776700</v>
          </cell>
          <cell r="M21">
            <v>188725400</v>
          </cell>
          <cell r="N21">
            <v>0.27962052585882474</v>
          </cell>
        </row>
        <row r="22">
          <cell r="A22" t="str">
            <v>42110102003</v>
          </cell>
          <cell r="B22" t="str">
            <v>APORTES DE CESANTIAS</v>
          </cell>
          <cell r="C22">
            <v>2690384000</v>
          </cell>
          <cell r="D22">
            <v>-27732527</v>
          </cell>
          <cell r="E22">
            <v>-627732527</v>
          </cell>
          <cell r="F22">
            <v>2062651473</v>
          </cell>
          <cell r="G22">
            <v>0</v>
          </cell>
          <cell r="H22">
            <v>2062651473</v>
          </cell>
          <cell r="I22">
            <v>-27732527</v>
          </cell>
          <cell r="J22">
            <v>875678196</v>
          </cell>
          <cell r="K22">
            <v>0.42454006770536945</v>
          </cell>
          <cell r="L22">
            <v>0</v>
          </cell>
          <cell r="M22">
            <v>875678196</v>
          </cell>
          <cell r="N22">
            <v>0.42454006770536945</v>
          </cell>
        </row>
        <row r="23">
          <cell r="A23" t="str">
            <v>42110102003.</v>
          </cell>
          <cell r="B23" t="str">
            <v>APORTES DE CESANTIAS - VIGENCIA</v>
          </cell>
          <cell r="C23">
            <v>1190384000</v>
          </cell>
          <cell r="D23">
            <v>0</v>
          </cell>
          <cell r="E23">
            <v>0</v>
          </cell>
          <cell r="F23">
            <v>1190384000</v>
          </cell>
          <cell r="G23">
            <v>0</v>
          </cell>
          <cell r="H23">
            <v>1190384000</v>
          </cell>
          <cell r="I23">
            <v>0</v>
          </cell>
          <cell r="J23">
            <v>3410723</v>
          </cell>
          <cell r="K23">
            <v>2.8652292033495073E-3</v>
          </cell>
          <cell r="L23">
            <v>0</v>
          </cell>
          <cell r="M23">
            <v>3410723</v>
          </cell>
          <cell r="N23">
            <v>2.8652292033495073E-3</v>
          </cell>
        </row>
        <row r="24">
          <cell r="A24" t="str">
            <v>42110102003C</v>
          </cell>
          <cell r="B24" t="str">
            <v>APORTES CESANTÍAS - CXP</v>
          </cell>
          <cell r="C24">
            <v>1500000000</v>
          </cell>
          <cell r="D24">
            <v>-27732527</v>
          </cell>
          <cell r="E24">
            <v>-627732527</v>
          </cell>
          <cell r="F24">
            <v>872267473</v>
          </cell>
          <cell r="G24">
            <v>0</v>
          </cell>
          <cell r="H24">
            <v>872267473</v>
          </cell>
          <cell r="I24">
            <v>-27732527</v>
          </cell>
          <cell r="J24">
            <v>872267473</v>
          </cell>
          <cell r="K24">
            <v>1</v>
          </cell>
          <cell r="L24">
            <v>0</v>
          </cell>
          <cell r="M24">
            <v>872267473</v>
          </cell>
          <cell r="N24">
            <v>1</v>
          </cell>
        </row>
        <row r="25">
          <cell r="A25" t="str">
            <v>42110102004</v>
          </cell>
          <cell r="B25" t="str">
            <v>APORTES A CAJAS DE COMPENSACIÓN FAMILIAR</v>
          </cell>
          <cell r="C25">
            <v>480938000</v>
          </cell>
          <cell r="D25">
            <v>0</v>
          </cell>
          <cell r="E25">
            <v>0</v>
          </cell>
          <cell r="F25">
            <v>480938000</v>
          </cell>
          <cell r="G25">
            <v>0</v>
          </cell>
          <cell r="H25">
            <v>480938000</v>
          </cell>
          <cell r="I25">
            <v>33134100</v>
          </cell>
          <cell r="J25">
            <v>134747900</v>
          </cell>
          <cell r="K25">
            <v>0.28017727856813146</v>
          </cell>
          <cell r="L25">
            <v>33326100</v>
          </cell>
          <cell r="M25">
            <v>134747900</v>
          </cell>
          <cell r="N25">
            <v>0.28017727856813146</v>
          </cell>
        </row>
        <row r="26">
          <cell r="A26" t="str">
            <v>42110102005</v>
          </cell>
          <cell r="B26" t="str">
            <v>APORTES GENERALES AL SISTEMA DE RIESGOS LABORAL
ES</v>
          </cell>
          <cell r="C26">
            <v>301740000</v>
          </cell>
          <cell r="D26">
            <v>0</v>
          </cell>
          <cell r="E26">
            <v>0</v>
          </cell>
          <cell r="F26">
            <v>301740000</v>
          </cell>
          <cell r="G26">
            <v>0</v>
          </cell>
          <cell r="H26">
            <v>301740000</v>
          </cell>
          <cell r="I26">
            <v>13893500</v>
          </cell>
          <cell r="J26">
            <v>58141200</v>
          </cell>
          <cell r="K26">
            <v>0.19268641877112747</v>
          </cell>
          <cell r="L26">
            <v>13918500</v>
          </cell>
          <cell r="M26">
            <v>58141200</v>
          </cell>
          <cell r="N26">
            <v>0.19268641877112747</v>
          </cell>
        </row>
        <row r="27">
          <cell r="A27" t="str">
            <v>42110102006</v>
          </cell>
          <cell r="B27" t="str">
            <v>APORTES AL ICBF</v>
          </cell>
          <cell r="C27">
            <v>326179000</v>
          </cell>
          <cell r="D27">
            <v>0</v>
          </cell>
          <cell r="E27">
            <v>0</v>
          </cell>
          <cell r="F27">
            <v>326179000</v>
          </cell>
          <cell r="G27">
            <v>0</v>
          </cell>
          <cell r="H27">
            <v>326179000</v>
          </cell>
          <cell r="I27">
            <v>16432800</v>
          </cell>
          <cell r="J27">
            <v>71156200</v>
          </cell>
          <cell r="K27">
            <v>0.21815076997599478</v>
          </cell>
          <cell r="L27">
            <v>16432800</v>
          </cell>
          <cell r="M27">
            <v>71156200</v>
          </cell>
          <cell r="N27">
            <v>0.21815076997599478</v>
          </cell>
        </row>
        <row r="28">
          <cell r="A28" t="str">
            <v>42110102007</v>
          </cell>
          <cell r="B28" t="str">
            <v>APORTES AL SENA</v>
          </cell>
          <cell r="C28">
            <v>217453000</v>
          </cell>
          <cell r="D28">
            <v>0</v>
          </cell>
          <cell r="E28">
            <v>0</v>
          </cell>
          <cell r="F28">
            <v>217453000</v>
          </cell>
          <cell r="G28">
            <v>0</v>
          </cell>
          <cell r="H28">
            <v>217453000</v>
          </cell>
          <cell r="I28">
            <v>10956200</v>
          </cell>
          <cell r="J28">
            <v>47441300</v>
          </cell>
          <cell r="K28">
            <v>0.21816806390346419</v>
          </cell>
          <cell r="L28">
            <v>10956200</v>
          </cell>
          <cell r="M28">
            <v>47441300</v>
          </cell>
          <cell r="N28">
            <v>0.21816806390346419</v>
          </cell>
        </row>
        <row r="29">
          <cell r="A29" t="str">
            <v>42110103</v>
          </cell>
          <cell r="B29" t="str">
            <v>REMUNERACIONES NO CONSTITUTIVAS DE FACTOR SAL
ARIAL</v>
          </cell>
          <cell r="C29">
            <v>292481000</v>
          </cell>
          <cell r="D29">
            <v>0</v>
          </cell>
          <cell r="E29">
            <v>0</v>
          </cell>
          <cell r="F29">
            <v>292481000</v>
          </cell>
          <cell r="G29">
            <v>0</v>
          </cell>
          <cell r="H29">
            <v>292481000</v>
          </cell>
          <cell r="I29">
            <v>1356334</v>
          </cell>
          <cell r="J29">
            <v>39443442</v>
          </cell>
          <cell r="K29">
            <v>0.13485813437454056</v>
          </cell>
          <cell r="L29">
            <v>1356334</v>
          </cell>
          <cell r="M29">
            <v>39443442</v>
          </cell>
          <cell r="N29">
            <v>0.13485813437454056</v>
          </cell>
        </row>
        <row r="30">
          <cell r="A30" t="str">
            <v>42110103001</v>
          </cell>
          <cell r="B30" t="str">
            <v>PRESTACIONES SOCIALES</v>
          </cell>
          <cell r="C30">
            <v>242481000</v>
          </cell>
          <cell r="D30">
            <v>0</v>
          </cell>
          <cell r="E30">
            <v>0</v>
          </cell>
          <cell r="F30">
            <v>242481000</v>
          </cell>
          <cell r="G30">
            <v>0</v>
          </cell>
          <cell r="H30">
            <v>242481000</v>
          </cell>
          <cell r="I30">
            <v>1356334</v>
          </cell>
          <cell r="J30">
            <v>37730854</v>
          </cell>
          <cell r="K30">
            <v>0.15560334211752674</v>
          </cell>
          <cell r="L30">
            <v>1356334</v>
          </cell>
          <cell r="M30">
            <v>37730854</v>
          </cell>
          <cell r="N30">
            <v>0.15560334211752674</v>
          </cell>
        </row>
        <row r="31">
          <cell r="A31" t="str">
            <v>4211010300102</v>
          </cell>
          <cell r="B31" t="str">
            <v>INDEMNIZACIÓN POR VACACIONES</v>
          </cell>
          <cell r="C31">
            <v>100000000</v>
          </cell>
          <cell r="D31">
            <v>0</v>
          </cell>
          <cell r="E31">
            <v>0</v>
          </cell>
          <cell r="F31">
            <v>100000000</v>
          </cell>
          <cell r="G31">
            <v>0</v>
          </cell>
          <cell r="H31">
            <v>100000000</v>
          </cell>
          <cell r="I31">
            <v>0</v>
          </cell>
          <cell r="J31">
            <v>27415779</v>
          </cell>
          <cell r="K31">
            <v>0.27415779000000001</v>
          </cell>
          <cell r="L31">
            <v>0</v>
          </cell>
          <cell r="M31">
            <v>27415779</v>
          </cell>
          <cell r="N31">
            <v>0.27415779000000001</v>
          </cell>
        </row>
        <row r="32">
          <cell r="A32" t="str">
            <v>4211010300103</v>
          </cell>
          <cell r="B32" t="str">
            <v>BONIFICACIÓN ESPECIAL DE RECREACIÓN</v>
          </cell>
          <cell r="C32">
            <v>42481000</v>
          </cell>
          <cell r="D32">
            <v>0</v>
          </cell>
          <cell r="E32">
            <v>0</v>
          </cell>
          <cell r="F32">
            <v>42481000</v>
          </cell>
          <cell r="G32">
            <v>0</v>
          </cell>
          <cell r="H32">
            <v>42481000</v>
          </cell>
          <cell r="I32">
            <v>1356334</v>
          </cell>
          <cell r="J32">
            <v>8891575</v>
          </cell>
          <cell r="K32">
            <v>0.20930710199854052</v>
          </cell>
          <cell r="L32">
            <v>1356334</v>
          </cell>
          <cell r="M32">
            <v>8891575</v>
          </cell>
          <cell r="N32">
            <v>0.20930710199854052</v>
          </cell>
        </row>
        <row r="33">
          <cell r="A33" t="str">
            <v>42110103069</v>
          </cell>
          <cell r="B33" t="str">
            <v>APOYO DE SOSTENIMIENTO APRENDICES SENA</v>
          </cell>
          <cell r="C33">
            <v>50000000</v>
          </cell>
          <cell r="D33">
            <v>0</v>
          </cell>
          <cell r="E33">
            <v>0</v>
          </cell>
          <cell r="F33">
            <v>50000000</v>
          </cell>
          <cell r="G33">
            <v>0</v>
          </cell>
          <cell r="H33">
            <v>50000000</v>
          </cell>
          <cell r="I33">
            <v>0</v>
          </cell>
          <cell r="J33">
            <v>1712588</v>
          </cell>
          <cell r="K33">
            <v>3.4251759999999999E-2</v>
          </cell>
          <cell r="L33">
            <v>0</v>
          </cell>
          <cell r="M33">
            <v>1712588</v>
          </cell>
          <cell r="N33">
            <v>3.4251759999999999E-2</v>
          </cell>
        </row>
        <row r="34">
          <cell r="A34" t="str">
            <v>42110103190</v>
          </cell>
          <cell r="B34" t="str">
            <v>APOYO DE SOSTENIMIENTO PRÁCTICAS LABORALES</v>
          </cell>
          <cell r="C34">
            <v>100000000</v>
          </cell>
          <cell r="D34">
            <v>0</v>
          </cell>
          <cell r="E34">
            <v>0</v>
          </cell>
          <cell r="F34">
            <v>100000000</v>
          </cell>
          <cell r="G34">
            <v>0</v>
          </cell>
          <cell r="H34">
            <v>100000000</v>
          </cell>
          <cell r="I34">
            <v>0</v>
          </cell>
          <cell r="J34">
            <v>1423500</v>
          </cell>
          <cell r="K34">
            <v>1.4234999999999999E-2</v>
          </cell>
          <cell r="L34">
            <v>0</v>
          </cell>
          <cell r="M34">
            <v>1423500</v>
          </cell>
          <cell r="N34">
            <v>1.4234999999999999E-2</v>
          </cell>
        </row>
        <row r="35">
          <cell r="A35" t="str">
            <v>4212</v>
          </cell>
          <cell r="B35" t="str">
            <v>ADQUISICIÓN DE BIENES Y SERVICIOS</v>
          </cell>
          <cell r="C35">
            <v>25601600000</v>
          </cell>
          <cell r="D35">
            <v>-3804066507</v>
          </cell>
          <cell r="E35">
            <v>-3204066507</v>
          </cell>
          <cell r="F35">
            <v>22397533493</v>
          </cell>
          <cell r="G35">
            <v>0</v>
          </cell>
          <cell r="H35">
            <v>22397533493</v>
          </cell>
          <cell r="I35">
            <v>269569376</v>
          </cell>
          <cell r="J35">
            <v>14147097033</v>
          </cell>
          <cell r="K35">
            <v>0.63163638252495324</v>
          </cell>
          <cell r="L35">
            <v>2773816152</v>
          </cell>
          <cell r="M35">
            <v>5041210443</v>
          </cell>
          <cell r="N35">
            <v>0.22507882149503433</v>
          </cell>
        </row>
        <row r="36">
          <cell r="A36" t="str">
            <v>421202</v>
          </cell>
          <cell r="B36" t="str">
            <v>ADQUISICIONES DIFERENTES DE ACTIVOS</v>
          </cell>
          <cell r="C36">
            <v>25601600000</v>
          </cell>
          <cell r="D36">
            <v>-3804066507</v>
          </cell>
          <cell r="E36">
            <v>-3204066507</v>
          </cell>
          <cell r="F36">
            <v>22397533493</v>
          </cell>
          <cell r="G36">
            <v>0</v>
          </cell>
          <cell r="H36">
            <v>22397533493</v>
          </cell>
          <cell r="I36">
            <v>269569376</v>
          </cell>
          <cell r="J36">
            <v>14147097033</v>
          </cell>
          <cell r="K36">
            <v>0.63163638252495324</v>
          </cell>
          <cell r="L36">
            <v>2773816152</v>
          </cell>
          <cell r="M36">
            <v>5041210443</v>
          </cell>
          <cell r="N36">
            <v>0.22507882149503433</v>
          </cell>
        </row>
        <row r="37">
          <cell r="A37" t="str">
            <v>42120201</v>
          </cell>
          <cell r="B37" t="str">
            <v>MATERIALES Y SUMINISTROS</v>
          </cell>
          <cell r="C37">
            <v>2011206000</v>
          </cell>
          <cell r="D37">
            <v>-18038924</v>
          </cell>
          <cell r="E37">
            <v>56900391</v>
          </cell>
          <cell r="F37">
            <v>2068106391</v>
          </cell>
          <cell r="G37">
            <v>0</v>
          </cell>
          <cell r="H37">
            <v>2068106391</v>
          </cell>
          <cell r="I37">
            <v>2374500</v>
          </cell>
          <cell r="J37">
            <v>348918652</v>
          </cell>
          <cell r="K37">
            <v>0.16871407269878699</v>
          </cell>
          <cell r="L37">
            <v>5944677</v>
          </cell>
          <cell r="M37">
            <v>33522606</v>
          </cell>
          <cell r="N37">
            <v>1.6209323730096245E-2</v>
          </cell>
        </row>
        <row r="38">
          <cell r="A38" t="str">
            <v>42120201002</v>
          </cell>
          <cell r="B38" t="str">
            <v>PRODUCTOS ALIMENTICIOS, BEBIDAS Y TABACO; TEXTILE
S, PRENDAS DE VESTIR Y PRODUCTOS DE CUERO</v>
          </cell>
          <cell r="C38">
            <v>32317000</v>
          </cell>
          <cell r="D38">
            <v>-4019663</v>
          </cell>
          <cell r="E38">
            <v>-4019663</v>
          </cell>
          <cell r="F38">
            <v>28297337</v>
          </cell>
          <cell r="G38">
            <v>0</v>
          </cell>
          <cell r="H38">
            <v>28297337</v>
          </cell>
          <cell r="I38">
            <v>2310000</v>
          </cell>
          <cell r="J38">
            <v>28290337</v>
          </cell>
          <cell r="K38">
            <v>0.99975262689913191</v>
          </cell>
          <cell r="L38">
            <v>5420450</v>
          </cell>
          <cell r="M38">
            <v>6678875</v>
          </cell>
          <cell r="N38">
            <v>0.23602485986578878</v>
          </cell>
        </row>
        <row r="39">
          <cell r="A39" t="str">
            <v>42120201002.</v>
          </cell>
          <cell r="B39" t="str">
            <v>PRODUCTOS ALIMENTICIOS, BEBIDAS Y TABACO; TEXTILES, PRENDAS DE VESTIR Y PRODUCTOS DE CUERO</v>
          </cell>
          <cell r="C39">
            <v>2317000</v>
          </cell>
          <cell r="D39">
            <v>0</v>
          </cell>
          <cell r="E39">
            <v>0</v>
          </cell>
          <cell r="F39">
            <v>2317000</v>
          </cell>
          <cell r="G39">
            <v>0</v>
          </cell>
          <cell r="H39">
            <v>2317000</v>
          </cell>
          <cell r="I39">
            <v>2310000</v>
          </cell>
          <cell r="J39">
            <v>2310000</v>
          </cell>
          <cell r="K39">
            <v>0.99697885196374625</v>
          </cell>
          <cell r="L39">
            <v>0</v>
          </cell>
          <cell r="M39">
            <v>0</v>
          </cell>
          <cell r="N39">
            <v>0</v>
          </cell>
        </row>
        <row r="40">
          <cell r="A40" t="str">
            <v>42120201002C</v>
          </cell>
          <cell r="B40" t="str">
            <v>PRODUCTOS ALIMENTICIOS, BEBIDAS Y TABACO; TEXTILE
S, PRENDAS DE VESTIR Y PRODUCTOS DE CUERO CXP</v>
          </cell>
          <cell r="C40">
            <v>30000000</v>
          </cell>
          <cell r="D40">
            <v>-4019663</v>
          </cell>
          <cell r="E40">
            <v>-4019663</v>
          </cell>
          <cell r="F40">
            <v>25980337</v>
          </cell>
          <cell r="G40">
            <v>0</v>
          </cell>
          <cell r="H40">
            <v>25980337</v>
          </cell>
          <cell r="I40">
            <v>0</v>
          </cell>
          <cell r="J40">
            <v>25980337</v>
          </cell>
          <cell r="K40">
            <v>1</v>
          </cell>
          <cell r="L40">
            <v>5420450</v>
          </cell>
          <cell r="M40">
            <v>6678875</v>
          </cell>
          <cell r="N40">
            <v>0.25707422501871319</v>
          </cell>
        </row>
        <row r="41">
          <cell r="A41" t="str">
            <v>42120201003</v>
          </cell>
          <cell r="B41" t="str">
            <v>OTROS BIENES TRANSPORTABLES (EXCEPTO PRODUCT
OS METÁLICOS, MAQUINARIA Y EQUIPO)</v>
          </cell>
          <cell r="C41">
            <v>480224000</v>
          </cell>
          <cell r="D41">
            <v>-13760997</v>
          </cell>
          <cell r="E41">
            <v>36730969</v>
          </cell>
          <cell r="F41">
            <v>516954969</v>
          </cell>
          <cell r="G41">
            <v>0</v>
          </cell>
          <cell r="H41">
            <v>516954969</v>
          </cell>
          <cell r="I41">
            <v>64500</v>
          </cell>
          <cell r="J41">
            <v>26827730</v>
          </cell>
          <cell r="K41">
            <v>5.1895680685487326E-2</v>
          </cell>
          <cell r="L41">
            <v>524227</v>
          </cell>
          <cell r="M41">
            <v>13101995</v>
          </cell>
          <cell r="N41">
            <v>2.5344557622387416E-2</v>
          </cell>
        </row>
        <row r="42">
          <cell r="A42" t="str">
            <v>42120201003.</v>
          </cell>
          <cell r="B42" t="str">
            <v>OTROS BIENES TRANSPORTABLES (EXCEPTO PRODUCT
OS METÁLICOS, MAQUINARIA Y EQUIPO) - VIGENCIA</v>
          </cell>
          <cell r="C42">
            <v>440224000</v>
          </cell>
          <cell r="D42">
            <v>0</v>
          </cell>
          <cell r="E42">
            <v>50491966</v>
          </cell>
          <cell r="F42">
            <v>490715966</v>
          </cell>
          <cell r="G42">
            <v>0</v>
          </cell>
          <cell r="H42">
            <v>490715966</v>
          </cell>
          <cell r="I42">
            <v>64500</v>
          </cell>
          <cell r="J42">
            <v>588727</v>
          </cell>
          <cell r="K42">
            <v>1.1997306808639685E-3</v>
          </cell>
          <cell r="L42">
            <v>524227</v>
          </cell>
          <cell r="M42">
            <v>524227</v>
          </cell>
          <cell r="N42">
            <v>1.0682900829030698E-3</v>
          </cell>
        </row>
        <row r="43">
          <cell r="A43" t="str">
            <v>42120201003C</v>
          </cell>
          <cell r="B43" t="str">
            <v>OTROS BIENES TRANSPORTABLES (EXCEPTO PRODUCT
OS METÁLICOS, MAQUINARIA Y EQUIPO) - CXP</v>
          </cell>
          <cell r="C43">
            <v>40000000</v>
          </cell>
          <cell r="D43">
            <v>-13760997</v>
          </cell>
          <cell r="E43">
            <v>-13760997</v>
          </cell>
          <cell r="F43">
            <v>26239003</v>
          </cell>
          <cell r="G43">
            <v>0</v>
          </cell>
          <cell r="H43">
            <v>26239003</v>
          </cell>
          <cell r="I43">
            <v>0</v>
          </cell>
          <cell r="J43">
            <v>26239003</v>
          </cell>
          <cell r="K43">
            <v>1</v>
          </cell>
          <cell r="L43">
            <v>0</v>
          </cell>
          <cell r="M43">
            <v>12577768</v>
          </cell>
          <cell r="N43">
            <v>0.47935388398713169</v>
          </cell>
        </row>
        <row r="44">
          <cell r="A44" t="str">
            <v>42120201004</v>
          </cell>
          <cell r="B44" t="str">
            <v>PRODUCTOS METÁLICOS Y
PAQUETES DE SOFTWARE</v>
          </cell>
          <cell r="C44">
            <v>1498665000</v>
          </cell>
          <cell r="D44">
            <v>-258264</v>
          </cell>
          <cell r="E44">
            <v>24189085</v>
          </cell>
          <cell r="F44">
            <v>1522854085</v>
          </cell>
          <cell r="G44">
            <v>0</v>
          </cell>
          <cell r="H44">
            <v>1522854085</v>
          </cell>
          <cell r="I44">
            <v>0</v>
          </cell>
          <cell r="J44">
            <v>293800585</v>
          </cell>
          <cell r="K44">
            <v>0.19292760080818905</v>
          </cell>
          <cell r="L44">
            <v>0</v>
          </cell>
          <cell r="M44">
            <v>13741736</v>
          </cell>
          <cell r="N44">
            <v>9.0236721530677702E-3</v>
          </cell>
        </row>
        <row r="45">
          <cell r="A45" t="str">
            <v>42120201004.</v>
          </cell>
          <cell r="B45" t="str">
            <v>Productos Metálicos Y Paquetes De
Software</v>
          </cell>
          <cell r="C45">
            <v>1498665000</v>
          </cell>
          <cell r="D45">
            <v>0</v>
          </cell>
          <cell r="E45">
            <v>10447349</v>
          </cell>
          <cell r="F45">
            <v>1509112349</v>
          </cell>
          <cell r="G45">
            <v>0</v>
          </cell>
          <cell r="H45">
            <v>1509112349</v>
          </cell>
          <cell r="I45">
            <v>0</v>
          </cell>
          <cell r="J45">
            <v>280058849</v>
          </cell>
          <cell r="K45">
            <v>0.18557852845454384</v>
          </cell>
          <cell r="L45">
            <v>0</v>
          </cell>
          <cell r="M45">
            <v>0</v>
          </cell>
          <cell r="N45">
            <v>0</v>
          </cell>
        </row>
        <row r="46">
          <cell r="A46" t="str">
            <v>42120201004C</v>
          </cell>
          <cell r="B46" t="str">
            <v>Productos Metalicos, Maquinaria Y Equipo</v>
          </cell>
          <cell r="C46">
            <v>0</v>
          </cell>
          <cell r="D46">
            <v>-258264</v>
          </cell>
          <cell r="E46">
            <v>13741736</v>
          </cell>
          <cell r="F46">
            <v>13741736</v>
          </cell>
          <cell r="G46">
            <v>0</v>
          </cell>
          <cell r="H46">
            <v>13741736</v>
          </cell>
          <cell r="I46">
            <v>0</v>
          </cell>
          <cell r="J46">
            <v>13741736</v>
          </cell>
          <cell r="K46">
            <v>1</v>
          </cell>
          <cell r="L46">
            <v>0</v>
          </cell>
          <cell r="M46">
            <v>13741736</v>
          </cell>
          <cell r="N46">
            <v>1</v>
          </cell>
        </row>
        <row r="47">
          <cell r="A47" t="str">
            <v>42120202</v>
          </cell>
          <cell r="B47" t="str">
            <v>ADQUISICIÓN DE SERVICIOS</v>
          </cell>
          <cell r="C47">
            <v>23590394000</v>
          </cell>
          <cell r="D47">
            <v>-3786027583</v>
          </cell>
          <cell r="E47">
            <v>-3260966898</v>
          </cell>
          <cell r="F47">
            <v>20329427102</v>
          </cell>
          <cell r="G47">
            <v>0</v>
          </cell>
          <cell r="H47">
            <v>20329427102</v>
          </cell>
          <cell r="I47">
            <v>267194876</v>
          </cell>
          <cell r="J47">
            <v>13798178381</v>
          </cell>
          <cell r="K47">
            <v>0.67872932728352886</v>
          </cell>
          <cell r="L47">
            <v>2767871475</v>
          </cell>
          <cell r="M47">
            <v>5007687837</v>
          </cell>
          <cell r="N47">
            <v>0.24632705151378054</v>
          </cell>
        </row>
        <row r="48">
          <cell r="A48" t="str">
            <v>42120202006</v>
          </cell>
          <cell r="B48" t="str">
            <v>SERVICIOS DE ALOJAMIENTO; SERVICIOS DE SUMINISTR
O DE COMIDAS Y BEBIDAS; SERVICIOS DE TRANSPORTE; 
Y S</v>
          </cell>
          <cell r="C48">
            <v>394780000</v>
          </cell>
          <cell r="D48">
            <v>-25747480</v>
          </cell>
          <cell r="E48">
            <v>-275995119</v>
          </cell>
          <cell r="F48">
            <v>118784881</v>
          </cell>
          <cell r="G48">
            <v>0</v>
          </cell>
          <cell r="H48">
            <v>118784881</v>
          </cell>
          <cell r="I48">
            <v>-1594554</v>
          </cell>
          <cell r="J48">
            <v>39483550</v>
          </cell>
          <cell r="K48">
            <v>0.33239541655137073</v>
          </cell>
          <cell r="L48">
            <v>216514</v>
          </cell>
          <cell r="M48">
            <v>39483550</v>
          </cell>
          <cell r="N48">
            <v>0.33239541655137073</v>
          </cell>
        </row>
        <row r="49">
          <cell r="A49" t="str">
            <v>42120202006.</v>
          </cell>
          <cell r="B49" t="str">
            <v>SERVICIOS DE ALOJAMIENTO; SERVICIOS DE SUMINISTR
O DE COMIDAS Y BEBIDAS; SERVICIOS DE TRANSPORTE; 
Y S</v>
          </cell>
          <cell r="C49">
            <v>354780000</v>
          </cell>
          <cell r="D49">
            <v>0</v>
          </cell>
          <cell r="E49">
            <v>-250247639</v>
          </cell>
          <cell r="F49">
            <v>104532361</v>
          </cell>
          <cell r="G49">
            <v>0</v>
          </cell>
          <cell r="H49">
            <v>104532361</v>
          </cell>
          <cell r="I49">
            <v>54796</v>
          </cell>
          <cell r="J49">
            <v>25231030</v>
          </cell>
          <cell r="K49">
            <v>0.24137051682971172</v>
          </cell>
          <cell r="L49">
            <v>216514</v>
          </cell>
          <cell r="M49">
            <v>25231030</v>
          </cell>
          <cell r="N49">
            <v>0.24137051682971172</v>
          </cell>
        </row>
        <row r="50">
          <cell r="A50" t="str">
            <v>42120202006C</v>
          </cell>
          <cell r="B50" t="str">
            <v>SERVICIOS DE ALOJAMIENTO; SERVICIOS DE SUMINISTR
O DE COMIDAS Y BEBIDAS; SERVICIOS DE TRANSPORTE; 
Y S</v>
          </cell>
          <cell r="C50">
            <v>40000000</v>
          </cell>
          <cell r="D50">
            <v>-25747480</v>
          </cell>
          <cell r="E50">
            <v>-25747480</v>
          </cell>
          <cell r="F50">
            <v>14252520</v>
          </cell>
          <cell r="G50">
            <v>0</v>
          </cell>
          <cell r="H50">
            <v>14252520</v>
          </cell>
          <cell r="I50">
            <v>-1649350</v>
          </cell>
          <cell r="J50">
            <v>14252520</v>
          </cell>
          <cell r="K50">
            <v>1</v>
          </cell>
          <cell r="L50">
            <v>0</v>
          </cell>
          <cell r="M50">
            <v>14252520</v>
          </cell>
          <cell r="N50">
            <v>1</v>
          </cell>
        </row>
        <row r="51">
          <cell r="A51" t="str">
            <v>42120202007</v>
          </cell>
          <cell r="B51" t="str">
            <v>SERVICIOS FINANCIEROS Y SERVICIOS CONEXOS, SERVI
CIOS INMOBILIARIOS Y SERVICIOS DE LEASING</v>
          </cell>
          <cell r="C51">
            <v>5463686000</v>
          </cell>
          <cell r="D51">
            <v>-353346882</v>
          </cell>
          <cell r="E51">
            <v>154614686</v>
          </cell>
          <cell r="F51">
            <v>5618300686</v>
          </cell>
          <cell r="G51">
            <v>0</v>
          </cell>
          <cell r="H51">
            <v>5618300686</v>
          </cell>
          <cell r="I51">
            <v>0</v>
          </cell>
          <cell r="J51">
            <v>5302521494</v>
          </cell>
          <cell r="K51">
            <v>0.94379453688071979</v>
          </cell>
          <cell r="L51">
            <v>1809154637</v>
          </cell>
          <cell r="M51">
            <v>2345109708</v>
          </cell>
          <cell r="N51">
            <v>0.41740551797871506</v>
          </cell>
        </row>
        <row r="52">
          <cell r="A52" t="str">
            <v>42120202007.</v>
          </cell>
          <cell r="B52" t="str">
            <v>SERVICIOS FINANCIEROS Y SERVICIOS CONEXOS, SERVI
CIOS INMOBILIARIOS Y SERVICIOS DE LEASING - VIGENCIA</v>
          </cell>
          <cell r="C52">
            <v>4603686000</v>
          </cell>
          <cell r="D52">
            <v>0</v>
          </cell>
          <cell r="E52">
            <v>521961568</v>
          </cell>
          <cell r="F52">
            <v>5125647568</v>
          </cell>
          <cell r="G52">
            <v>0</v>
          </cell>
          <cell r="H52">
            <v>5125647568</v>
          </cell>
          <cell r="I52">
            <v>0</v>
          </cell>
          <cell r="J52">
            <v>4809868376</v>
          </cell>
          <cell r="K52">
            <v>0.93839233232275954</v>
          </cell>
          <cell r="L52">
            <v>1809154637</v>
          </cell>
          <cell r="M52">
            <v>1937429263</v>
          </cell>
          <cell r="N52">
            <v>0.37798721767286364</v>
          </cell>
        </row>
        <row r="53">
          <cell r="A53" t="str">
            <v>42120202007C</v>
          </cell>
          <cell r="B53" t="str">
            <v>SERVICIOS FINANCIEROS Y SERVICIOS CONEXOS, SERVI
CIOS INMOBILIARIOS Y SERVICIOS DE LEASING -CXP</v>
          </cell>
          <cell r="C53">
            <v>860000000</v>
          </cell>
          <cell r="D53">
            <v>-353346882</v>
          </cell>
          <cell r="E53">
            <v>-367346882</v>
          </cell>
          <cell r="F53">
            <v>492653118</v>
          </cell>
          <cell r="G53">
            <v>0</v>
          </cell>
          <cell r="H53">
            <v>492653118</v>
          </cell>
          <cell r="I53">
            <v>0</v>
          </cell>
          <cell r="J53">
            <v>492653118</v>
          </cell>
          <cell r="K53">
            <v>1</v>
          </cell>
          <cell r="L53">
            <v>0</v>
          </cell>
          <cell r="M53">
            <v>407680445</v>
          </cell>
          <cell r="N53">
            <v>0.82752027766522729</v>
          </cell>
        </row>
        <row r="54">
          <cell r="A54" t="str">
            <v>42120202008</v>
          </cell>
          <cell r="B54" t="str">
            <v>SERVICIOS PRESTADOS A LAS EMPRESAS Y SERVICIOS D
E PRODUCCIÓN</v>
          </cell>
          <cell r="C54">
            <v>16118213000</v>
          </cell>
          <cell r="D54">
            <v>-3060598972</v>
          </cell>
          <cell r="E54">
            <v>-3028243936</v>
          </cell>
          <cell r="F54">
            <v>13089969064</v>
          </cell>
          <cell r="G54">
            <v>0</v>
          </cell>
          <cell r="H54">
            <v>13089969064</v>
          </cell>
          <cell r="I54">
            <v>257027430</v>
          </cell>
          <cell r="J54">
            <v>7950435950</v>
          </cell>
          <cell r="K54">
            <v>0.60736858208972155</v>
          </cell>
          <cell r="L54">
            <v>900003009</v>
          </cell>
          <cell r="M54">
            <v>2482384055</v>
          </cell>
          <cell r="N54">
            <v>0.1896401773650517</v>
          </cell>
        </row>
        <row r="55">
          <cell r="A55" t="str">
            <v>42120202008.</v>
          </cell>
          <cell r="B55" t="str">
            <v>SERVICIOS PRESTADOS A LAS EMPRESAS Y SERVICIOS D
E PRODUCCIÓN - VIGENCIA</v>
          </cell>
          <cell r="C55">
            <v>10844985000</v>
          </cell>
          <cell r="D55">
            <v>0</v>
          </cell>
          <cell r="E55">
            <v>32355036</v>
          </cell>
          <cell r="F55">
            <v>10877340036</v>
          </cell>
          <cell r="G55">
            <v>0</v>
          </cell>
          <cell r="H55">
            <v>10877340036</v>
          </cell>
          <cell r="I55">
            <v>270955287</v>
          </cell>
          <cell r="J55">
            <v>5737806922</v>
          </cell>
          <cell r="K55">
            <v>0.52750092421584382</v>
          </cell>
          <cell r="L55">
            <v>612493600</v>
          </cell>
          <cell r="M55">
            <v>1129230641</v>
          </cell>
          <cell r="N55">
            <v>0.10381496186224402</v>
          </cell>
        </row>
        <row r="56">
          <cell r="A56" t="str">
            <v>42120202008C</v>
          </cell>
          <cell r="B56" t="str">
            <v>SERVICIOS PRESTADOS A LAS EMPRESAS Y SERVICIOS D
E PRODUCCIÓN - CXP</v>
          </cell>
          <cell r="C56">
            <v>5273228000</v>
          </cell>
          <cell r="D56">
            <v>-3060598972</v>
          </cell>
          <cell r="E56">
            <v>-3060598972</v>
          </cell>
          <cell r="F56">
            <v>2212629028</v>
          </cell>
          <cell r="G56">
            <v>0</v>
          </cell>
          <cell r="H56">
            <v>2212629028</v>
          </cell>
          <cell r="I56">
            <v>-13927857</v>
          </cell>
          <cell r="J56">
            <v>2212629028</v>
          </cell>
          <cell r="K56">
            <v>1</v>
          </cell>
          <cell r="L56">
            <v>287509409</v>
          </cell>
          <cell r="M56">
            <v>1353153414</v>
          </cell>
          <cell r="N56">
            <v>0.61155909864525193</v>
          </cell>
        </row>
        <row r="57">
          <cell r="A57" t="str">
            <v>42120202009</v>
          </cell>
          <cell r="B57" t="str">
            <v>SERVICIOS PARA LA COMUNIDAD, SOCIALES Y PERSONAL
ES</v>
          </cell>
          <cell r="C57">
            <v>1467412000</v>
          </cell>
          <cell r="D57">
            <v>-336607578</v>
          </cell>
          <cell r="E57">
            <v>-151323858</v>
          </cell>
          <cell r="F57">
            <v>1316088142</v>
          </cell>
          <cell r="G57">
            <v>0</v>
          </cell>
          <cell r="H57">
            <v>1316088142</v>
          </cell>
          <cell r="I57">
            <v>11762000</v>
          </cell>
          <cell r="J57">
            <v>480213180</v>
          </cell>
          <cell r="K57">
            <v>0.36487919363078647</v>
          </cell>
          <cell r="L57">
            <v>58497315</v>
          </cell>
          <cell r="M57">
            <v>134489554</v>
          </cell>
          <cell r="N57">
            <v>0.10218886540199525</v>
          </cell>
        </row>
        <row r="58">
          <cell r="A58" t="str">
            <v>42120202009.</v>
          </cell>
          <cell r="B58" t="str">
            <v>SERVICIOS PARA LA COMUNIDAD, SOCIALES Y PERSONAL
ES - VIGENCIA</v>
          </cell>
          <cell r="C58">
            <v>667412000</v>
          </cell>
          <cell r="D58">
            <v>0</v>
          </cell>
          <cell r="E58">
            <v>185283720</v>
          </cell>
          <cell r="F58">
            <v>852695720</v>
          </cell>
          <cell r="G58">
            <v>0</v>
          </cell>
          <cell r="H58">
            <v>852695720</v>
          </cell>
          <cell r="I58">
            <v>11762000</v>
          </cell>
          <cell r="J58">
            <v>16820758</v>
          </cell>
          <cell r="K58">
            <v>1.9726565532661521E-2</v>
          </cell>
          <cell r="L58">
            <v>62000</v>
          </cell>
          <cell r="M58">
            <v>62000</v>
          </cell>
          <cell r="N58">
            <v>7.2710579572276971E-5</v>
          </cell>
        </row>
        <row r="59">
          <cell r="A59" t="str">
            <v>42120202009C</v>
          </cell>
          <cell r="B59" t="str">
            <v>SERVICIOS PARA LA COMUNIDAD, SOCIALES Y PERSONAL
ES - CXP</v>
          </cell>
          <cell r="C59">
            <v>800000000</v>
          </cell>
          <cell r="D59">
            <v>-336607578</v>
          </cell>
          <cell r="E59">
            <v>-336607578</v>
          </cell>
          <cell r="F59">
            <v>463392422</v>
          </cell>
          <cell r="G59">
            <v>0</v>
          </cell>
          <cell r="H59">
            <v>463392422</v>
          </cell>
          <cell r="I59">
            <v>0</v>
          </cell>
          <cell r="J59">
            <v>463392422</v>
          </cell>
          <cell r="K59">
            <v>1</v>
          </cell>
          <cell r="L59">
            <v>58435315</v>
          </cell>
          <cell r="M59">
            <v>134427554</v>
          </cell>
          <cell r="N59">
            <v>0.29009441591602031</v>
          </cell>
        </row>
        <row r="60">
          <cell r="A60" t="str">
            <v>42120202010</v>
          </cell>
          <cell r="B60" t="str">
            <v>VIÁTICOS DE LOS FUNCIONARIOS EN COMISIÓN</v>
          </cell>
          <cell r="C60">
            <v>146303000</v>
          </cell>
          <cell r="D60">
            <v>-9726671</v>
          </cell>
          <cell r="E60">
            <v>39981329</v>
          </cell>
          <cell r="F60">
            <v>186284329</v>
          </cell>
          <cell r="G60">
            <v>0</v>
          </cell>
          <cell r="H60">
            <v>186284329</v>
          </cell>
          <cell r="I60">
            <v>0</v>
          </cell>
          <cell r="J60">
            <v>25524207</v>
          </cell>
          <cell r="K60">
            <v>0.13701746752943453</v>
          </cell>
          <cell r="L60">
            <v>0</v>
          </cell>
          <cell r="M60">
            <v>6220970</v>
          </cell>
          <cell r="N60">
            <v>3.33950259444529E-2</v>
          </cell>
        </row>
        <row r="61">
          <cell r="A61" t="str">
            <v>42120202010.</v>
          </cell>
          <cell r="B61" t="str">
            <v>Viáticos De Los Funcionarios En Comisión -
Vigencia</v>
          </cell>
          <cell r="C61">
            <v>116303000</v>
          </cell>
          <cell r="D61">
            <v>0</v>
          </cell>
          <cell r="E61">
            <v>49708000</v>
          </cell>
          <cell r="F61">
            <v>166011000</v>
          </cell>
          <cell r="G61">
            <v>0</v>
          </cell>
          <cell r="H61">
            <v>166011000</v>
          </cell>
          <cell r="I61">
            <v>0</v>
          </cell>
          <cell r="J61">
            <v>5250878</v>
          </cell>
          <cell r="K61">
            <v>3.1629699236797565E-2</v>
          </cell>
          <cell r="L61">
            <v>0</v>
          </cell>
          <cell r="M61">
            <v>5250878</v>
          </cell>
          <cell r="N61">
            <v>3.1629699236797565E-2</v>
          </cell>
        </row>
        <row r="62">
          <cell r="A62" t="str">
            <v>42120202010C</v>
          </cell>
          <cell r="B62" t="str">
            <v>Viáticos De Los Funcionarios En Comisión
Cxp</v>
          </cell>
          <cell r="C62">
            <v>30000000</v>
          </cell>
          <cell r="D62">
            <v>-9726671</v>
          </cell>
          <cell r="E62">
            <v>-9726671</v>
          </cell>
          <cell r="F62">
            <v>20273329</v>
          </cell>
          <cell r="G62">
            <v>0</v>
          </cell>
          <cell r="H62">
            <v>20273329</v>
          </cell>
          <cell r="I62">
            <v>0</v>
          </cell>
          <cell r="J62">
            <v>20273329</v>
          </cell>
          <cell r="K62">
            <v>1</v>
          </cell>
          <cell r="L62">
            <v>0</v>
          </cell>
          <cell r="M62">
            <v>970092</v>
          </cell>
          <cell r="N62">
            <v>4.7850651464295776E-2</v>
          </cell>
        </row>
        <row r="63">
          <cell r="A63" t="str">
            <v>4213</v>
          </cell>
          <cell r="B63" t="str">
            <v>TRANSFERENCIAS CORRIENTES</v>
          </cell>
          <cell r="C63">
            <v>1800000000</v>
          </cell>
          <cell r="D63">
            <v>-471206471</v>
          </cell>
          <cell r="E63">
            <v>-471206471</v>
          </cell>
          <cell r="F63">
            <v>1328793529</v>
          </cell>
          <cell r="G63">
            <v>0</v>
          </cell>
          <cell r="H63">
            <v>1328793529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</row>
        <row r="64">
          <cell r="A64" t="str">
            <v>421313</v>
          </cell>
          <cell r="B64" t="str">
            <v>SENTENCIAS Y CONCILIACIONES</v>
          </cell>
          <cell r="C64">
            <v>1800000000</v>
          </cell>
          <cell r="D64">
            <v>-471206471</v>
          </cell>
          <cell r="E64">
            <v>-471206471</v>
          </cell>
          <cell r="F64">
            <v>1328793529</v>
          </cell>
          <cell r="G64">
            <v>0</v>
          </cell>
          <cell r="H64">
            <v>1328793529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</row>
        <row r="65">
          <cell r="A65" t="str">
            <v>42131301</v>
          </cell>
          <cell r="B65" t="str">
            <v>FALLOS NACIONALES</v>
          </cell>
          <cell r="C65">
            <v>1800000000</v>
          </cell>
          <cell r="D65">
            <v>-471206471</v>
          </cell>
          <cell r="E65">
            <v>-471206471</v>
          </cell>
          <cell r="F65">
            <v>1328793529</v>
          </cell>
          <cell r="G65">
            <v>0</v>
          </cell>
          <cell r="H65">
            <v>1328793529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</row>
        <row r="66">
          <cell r="A66" t="str">
            <v>42131301001</v>
          </cell>
          <cell r="B66" t="str">
            <v>SENTENCIAS</v>
          </cell>
          <cell r="C66">
            <v>1800000000</v>
          </cell>
          <cell r="D66">
            <v>-471206471</v>
          </cell>
          <cell r="E66">
            <v>-471206471</v>
          </cell>
          <cell r="F66">
            <v>1328793529</v>
          </cell>
          <cell r="G66">
            <v>0</v>
          </cell>
          <cell r="H66">
            <v>1328793529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</row>
        <row r="67">
          <cell r="A67" t="str">
            <v>4218</v>
          </cell>
          <cell r="B67" t="str">
            <v>GASTOS POR TRIBUTOS, MULTAS, SANCIONES E INTERES
ES</v>
          </cell>
          <cell r="C67">
            <v>7013635000</v>
          </cell>
          <cell r="D67">
            <v>0</v>
          </cell>
          <cell r="E67">
            <v>0</v>
          </cell>
          <cell r="F67">
            <v>7013635000</v>
          </cell>
          <cell r="G67">
            <v>0</v>
          </cell>
          <cell r="H67">
            <v>7013635000</v>
          </cell>
          <cell r="I67">
            <v>1704766000</v>
          </cell>
          <cell r="J67">
            <v>3323045000</v>
          </cell>
          <cell r="K67">
            <v>0.47379782381033514</v>
          </cell>
          <cell r="L67">
            <v>1704766000</v>
          </cell>
          <cell r="M67">
            <v>3323045000</v>
          </cell>
          <cell r="N67">
            <v>0.47379782381033514</v>
          </cell>
        </row>
        <row r="68">
          <cell r="A68" t="str">
            <v>421801</v>
          </cell>
          <cell r="B68" t="str">
            <v>IMPUESTOS</v>
          </cell>
          <cell r="C68">
            <v>7013635000</v>
          </cell>
          <cell r="D68">
            <v>0</v>
          </cell>
          <cell r="E68">
            <v>0</v>
          </cell>
          <cell r="F68">
            <v>7013635000</v>
          </cell>
          <cell r="G68">
            <v>0</v>
          </cell>
          <cell r="H68">
            <v>7013635000</v>
          </cell>
          <cell r="I68">
            <v>1704766000</v>
          </cell>
          <cell r="J68">
            <v>3323045000</v>
          </cell>
          <cell r="K68">
            <v>0.47379782381033514</v>
          </cell>
          <cell r="L68">
            <v>1704766000</v>
          </cell>
          <cell r="M68">
            <v>3323045000</v>
          </cell>
          <cell r="N68">
            <v>0.47379782381033514</v>
          </cell>
        </row>
        <row r="69">
          <cell r="A69" t="str">
            <v>42180101</v>
          </cell>
          <cell r="B69" t="str">
            <v>IMPUESTO SOBRE LA RENTA Y COMPLEMENTARIOS</v>
          </cell>
          <cell r="C69">
            <v>3537077000</v>
          </cell>
          <cell r="D69">
            <v>0</v>
          </cell>
          <cell r="E69">
            <v>0</v>
          </cell>
          <cell r="F69">
            <v>3537077000</v>
          </cell>
          <cell r="G69">
            <v>0</v>
          </cell>
          <cell r="H69">
            <v>3537077000</v>
          </cell>
          <cell r="I69">
            <v>1652643000</v>
          </cell>
          <cell r="J69">
            <v>2509732000</v>
          </cell>
          <cell r="K69">
            <v>0.70954972142251926</v>
          </cell>
          <cell r="L69">
            <v>1652643000</v>
          </cell>
          <cell r="M69">
            <v>2509732000</v>
          </cell>
          <cell r="N69">
            <v>0.70954972142251926</v>
          </cell>
        </row>
        <row r="70">
          <cell r="A70" t="str">
            <v>42180151</v>
          </cell>
          <cell r="B70" t="str">
            <v>IMPUESTO SOBRE VEHÍCULOS AUTOMOTORES</v>
          </cell>
          <cell r="C70">
            <v>5000000</v>
          </cell>
          <cell r="D70">
            <v>0</v>
          </cell>
          <cell r="E70">
            <v>0</v>
          </cell>
          <cell r="F70">
            <v>5000000</v>
          </cell>
          <cell r="G70">
            <v>0</v>
          </cell>
          <cell r="H70">
            <v>5000000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</row>
        <row r="71">
          <cell r="A71" t="str">
            <v>42180154</v>
          </cell>
          <cell r="B71" t="str">
            <v>IMPUESTO DE INDUSTRIA Y COMERCIO</v>
          </cell>
          <cell r="C71">
            <v>3471558000</v>
          </cell>
          <cell r="D71">
            <v>0</v>
          </cell>
          <cell r="E71">
            <v>0</v>
          </cell>
          <cell r="F71">
            <v>3471558000</v>
          </cell>
          <cell r="G71">
            <v>0</v>
          </cell>
          <cell r="H71">
            <v>3471558000</v>
          </cell>
          <cell r="I71">
            <v>52123000</v>
          </cell>
          <cell r="J71">
            <v>813313000</v>
          </cell>
          <cell r="K71">
            <v>0.23427896062805231</v>
          </cell>
          <cell r="L71">
            <v>52123000</v>
          </cell>
          <cell r="M71">
            <v>813313000</v>
          </cell>
          <cell r="N71">
            <v>0.23427896062805231</v>
          </cell>
        </row>
        <row r="72">
          <cell r="A72" t="str">
            <v>423</v>
          </cell>
          <cell r="B72" t="str">
            <v>INVERSIÓN</v>
          </cell>
          <cell r="C72">
            <v>177372133000</v>
          </cell>
          <cell r="D72">
            <v>106184353838</v>
          </cell>
          <cell r="E72">
            <v>106184353838</v>
          </cell>
          <cell r="F72">
            <v>283556486838</v>
          </cell>
          <cell r="G72">
            <v>0</v>
          </cell>
          <cell r="H72">
            <v>283556486838</v>
          </cell>
          <cell r="I72">
            <v>110763406528</v>
          </cell>
          <cell r="J72">
            <v>243063850257</v>
          </cell>
          <cell r="K72">
            <v>0.85719728357287051</v>
          </cell>
          <cell r="L72">
            <v>2053660783</v>
          </cell>
          <cell r="M72">
            <v>2788989018</v>
          </cell>
          <cell r="N72">
            <v>9.8357440138316793E-3</v>
          </cell>
        </row>
        <row r="73">
          <cell r="A73" t="str">
            <v>42301</v>
          </cell>
          <cell r="B73" t="str">
            <v>DIRECTA</v>
          </cell>
          <cell r="C73">
            <v>177372133000</v>
          </cell>
          <cell r="D73">
            <v>106184353838</v>
          </cell>
          <cell r="E73">
            <v>106184353838</v>
          </cell>
          <cell r="F73">
            <v>283556486838</v>
          </cell>
          <cell r="G73">
            <v>0</v>
          </cell>
          <cell r="H73">
            <v>283556486838</v>
          </cell>
          <cell r="I73">
            <v>110763406528</v>
          </cell>
          <cell r="J73">
            <v>243063850257</v>
          </cell>
          <cell r="K73">
            <v>0.85719728357287051</v>
          </cell>
          <cell r="L73">
            <v>2053660783</v>
          </cell>
          <cell r="M73">
            <v>2788989018</v>
          </cell>
          <cell r="N73">
            <v>9.8357440138316793E-3</v>
          </cell>
        </row>
        <row r="74">
          <cell r="A74" t="str">
            <v>4230117</v>
          </cell>
          <cell r="B74" t="str">
            <v>Bogotá Camina Segura</v>
          </cell>
          <cell r="C74">
            <v>177372133000</v>
          </cell>
          <cell r="D74">
            <v>106184353838</v>
          </cell>
          <cell r="E74">
            <v>106184353838</v>
          </cell>
          <cell r="F74">
            <v>283556486838</v>
          </cell>
          <cell r="G74">
            <v>0</v>
          </cell>
          <cell r="H74">
            <v>283556486838</v>
          </cell>
          <cell r="I74">
            <v>110763406528</v>
          </cell>
          <cell r="J74">
            <v>243063850257</v>
          </cell>
          <cell r="K74">
            <v>0.85719728357287051</v>
          </cell>
          <cell r="L74">
            <v>2053660783</v>
          </cell>
          <cell r="M74">
            <v>2788989018</v>
          </cell>
          <cell r="N74">
            <v>9.8357440138316793E-3</v>
          </cell>
        </row>
        <row r="75">
          <cell r="A75" t="str">
            <v>423011740</v>
          </cell>
          <cell r="B75" t="str">
            <v>Vivienda, Ciudad y Territorio</v>
          </cell>
          <cell r="C75">
            <v>168947133000</v>
          </cell>
          <cell r="D75">
            <v>107971371695</v>
          </cell>
          <cell r="E75">
            <v>108044371695</v>
          </cell>
          <cell r="F75">
            <v>276991504695</v>
          </cell>
          <cell r="G75">
            <v>0</v>
          </cell>
          <cell r="H75">
            <v>276991504695</v>
          </cell>
          <cell r="I75">
            <v>110677406528</v>
          </cell>
          <cell r="J75">
            <v>239491894964</v>
          </cell>
          <cell r="K75">
            <v>0.86461819552086461</v>
          </cell>
          <cell r="L75">
            <v>1829566213</v>
          </cell>
          <cell r="M75">
            <v>2320513258</v>
          </cell>
          <cell r="N75">
            <v>8.3775611116851979E-3</v>
          </cell>
        </row>
        <row r="76">
          <cell r="A76" t="str">
            <v>42301174001</v>
          </cell>
          <cell r="B76" t="str">
            <v>Acceso a Soluciones de Vivienda</v>
          </cell>
          <cell r="C76">
            <v>17895453000</v>
          </cell>
          <cell r="D76">
            <v>-316962090</v>
          </cell>
          <cell r="E76">
            <v>-316962090</v>
          </cell>
          <cell r="F76">
            <v>17578490910</v>
          </cell>
          <cell r="G76">
            <v>0</v>
          </cell>
          <cell r="H76">
            <v>17578490910</v>
          </cell>
          <cell r="I76">
            <v>0</v>
          </cell>
          <cell r="J76">
            <v>357225910</v>
          </cell>
          <cell r="K76">
            <v>2.0321762080087454E-2</v>
          </cell>
          <cell r="L76">
            <v>6343800</v>
          </cell>
          <cell r="M76">
            <v>20448040</v>
          </cell>
          <cell r="N76">
            <v>1.1632420612606501E-3</v>
          </cell>
        </row>
        <row r="77">
          <cell r="A77" t="str">
            <v>423011740012024004701000</v>
          </cell>
          <cell r="B77" t="str">
            <v>Implementación de un portafolio de Vivienda para Bogotá D.C.</v>
          </cell>
          <cell r="C77">
            <v>17895453000</v>
          </cell>
          <cell r="D77">
            <v>-316962090</v>
          </cell>
          <cell r="E77">
            <v>-316962090</v>
          </cell>
          <cell r="F77">
            <v>17578490910</v>
          </cell>
          <cell r="G77">
            <v>0</v>
          </cell>
          <cell r="H77">
            <v>17578490910</v>
          </cell>
          <cell r="I77">
            <v>0</v>
          </cell>
          <cell r="J77">
            <v>357225910</v>
          </cell>
          <cell r="K77">
            <v>2.0321762080087454E-2</v>
          </cell>
          <cell r="L77">
            <v>6343800</v>
          </cell>
          <cell r="M77">
            <v>20448040</v>
          </cell>
          <cell r="N77">
            <v>1.1632420612606501E-3</v>
          </cell>
        </row>
        <row r="78">
          <cell r="A78" t="str">
            <v>423011740012024004701000.</v>
          </cell>
          <cell r="B78" t="str">
            <v>Implementación De Un Portafolio De
Vivienda Para Bogotá D.C. - Vigencia</v>
          </cell>
          <cell r="C78">
            <v>17335453000</v>
          </cell>
          <cell r="D78">
            <v>0</v>
          </cell>
          <cell r="E78">
            <v>0</v>
          </cell>
          <cell r="F78">
            <v>17335453000</v>
          </cell>
          <cell r="G78">
            <v>0</v>
          </cell>
          <cell r="H78">
            <v>17335453000</v>
          </cell>
          <cell r="I78">
            <v>0</v>
          </cell>
          <cell r="J78">
            <v>114188000</v>
          </cell>
          <cell r="K78">
            <v>6.5869637211095665E-3</v>
          </cell>
          <cell r="L78">
            <v>6343800</v>
          </cell>
          <cell r="M78">
            <v>15648040</v>
          </cell>
          <cell r="N78">
            <v>9.026611534177965E-4</v>
          </cell>
        </row>
        <row r="79">
          <cell r="A79" t="str">
            <v>423011740012024004701000C</v>
          </cell>
          <cell r="B79" t="str">
            <v>Implementación De Un Portafolio De
Vivienda Para Bogotá D.C. - Cxp</v>
          </cell>
          <cell r="C79">
            <v>560000000</v>
          </cell>
          <cell r="D79">
            <v>-316962090</v>
          </cell>
          <cell r="E79">
            <v>-316962090</v>
          </cell>
          <cell r="F79">
            <v>243037910</v>
          </cell>
          <cell r="G79">
            <v>0</v>
          </cell>
          <cell r="H79">
            <v>243037910</v>
          </cell>
          <cell r="I79">
            <v>0</v>
          </cell>
          <cell r="J79">
            <v>243037910</v>
          </cell>
          <cell r="K79">
            <v>1</v>
          </cell>
          <cell r="L79">
            <v>0</v>
          </cell>
          <cell r="M79">
            <v>4800000</v>
          </cell>
          <cell r="N79">
            <v>1.9750005256381608E-2</v>
          </cell>
        </row>
        <row r="80">
          <cell r="A80" t="str">
            <v>42301174002</v>
          </cell>
          <cell r="B80" t="str">
            <v>Ordenamiento Territorial y Desarrollo Urbano</v>
          </cell>
          <cell r="C80">
            <v>151051680000</v>
          </cell>
          <cell r="D80">
            <v>108288333785</v>
          </cell>
          <cell r="E80">
            <v>108361333785</v>
          </cell>
          <cell r="F80">
            <v>259413013785</v>
          </cell>
          <cell r="G80">
            <v>0</v>
          </cell>
          <cell r="H80">
            <v>259413013785</v>
          </cell>
          <cell r="I80">
            <v>110677406528</v>
          </cell>
          <cell r="J80">
            <v>239134669054</v>
          </cell>
          <cell r="K80">
            <v>0.92182988649980924</v>
          </cell>
          <cell r="L80">
            <v>1823222413</v>
          </cell>
          <cell r="M80">
            <v>2300065218</v>
          </cell>
          <cell r="N80">
            <v>8.8664218669703317E-3</v>
          </cell>
        </row>
        <row r="81">
          <cell r="A81" t="str">
            <v>423011740022020009001000</v>
          </cell>
          <cell r="B81" t="str">
            <v>Desarrollo de Proyectos y Gestión Inmobiliaria Bogotá</v>
          </cell>
          <cell r="C81">
            <v>136746686000</v>
          </cell>
          <cell r="D81">
            <v>108353497705</v>
          </cell>
          <cell r="E81">
            <v>108353497705</v>
          </cell>
          <cell r="F81">
            <v>245100183705</v>
          </cell>
          <cell r="G81">
            <v>0</v>
          </cell>
          <cell r="H81">
            <v>245100183705</v>
          </cell>
          <cell r="I81">
            <v>110681307860</v>
          </cell>
          <cell r="J81">
            <v>238188101974</v>
          </cell>
          <cell r="K81">
            <v>0.97179895328304078</v>
          </cell>
          <cell r="L81">
            <v>1667142738</v>
          </cell>
          <cell r="M81">
            <v>1985636280</v>
          </cell>
          <cell r="N81">
            <v>8.1013251397228283E-3</v>
          </cell>
        </row>
        <row r="82">
          <cell r="A82" t="str">
            <v>423011740022020009001000.</v>
          </cell>
          <cell r="B82" t="str">
            <v>Desarrollo De Proyectos Y Gestión
Inmobiliaria Bogotá - Vigencia</v>
          </cell>
          <cell r="C82">
            <v>61036686000</v>
          </cell>
          <cell r="D82">
            <v>0</v>
          </cell>
          <cell r="E82">
            <v>0</v>
          </cell>
          <cell r="F82">
            <v>61036686000</v>
          </cell>
          <cell r="G82">
            <v>0</v>
          </cell>
          <cell r="H82">
            <v>61036686000</v>
          </cell>
          <cell r="I82">
            <v>95974170</v>
          </cell>
          <cell r="J82">
            <v>54124604269</v>
          </cell>
          <cell r="K82">
            <v>0.88675529121944796</v>
          </cell>
          <cell r="L82">
            <v>0</v>
          </cell>
          <cell r="M82">
            <v>0</v>
          </cell>
          <cell r="N82">
            <v>0</v>
          </cell>
        </row>
        <row r="83">
          <cell r="A83" t="str">
            <v>423011740022020009001000C</v>
          </cell>
          <cell r="B83" t="str">
            <v>Desarrollo De Proyectos Y Gestión
Inmobiliaria Bogotá - Cxp</v>
          </cell>
          <cell r="C83">
            <v>75710000000</v>
          </cell>
          <cell r="D83">
            <v>108353497705</v>
          </cell>
          <cell r="E83">
            <v>108353497705</v>
          </cell>
          <cell r="F83">
            <v>184063497705</v>
          </cell>
          <cell r="G83">
            <v>0</v>
          </cell>
          <cell r="H83">
            <v>184063497705</v>
          </cell>
          <cell r="I83">
            <v>110585333690</v>
          </cell>
          <cell r="J83">
            <v>184063497705</v>
          </cell>
          <cell r="K83">
            <v>1</v>
          </cell>
          <cell r="L83">
            <v>1667142738</v>
          </cell>
          <cell r="M83">
            <v>1985636280</v>
          </cell>
          <cell r="N83">
            <v>1.0787778700057057E-2</v>
          </cell>
        </row>
        <row r="84">
          <cell r="A84" t="str">
            <v>423011740022024000901000</v>
          </cell>
          <cell r="B84" t="str">
            <v>Formulación, Gestión y Estructuración de Proyectos de Desarrollo, Revitalización o Renovación Urbana Bogotá D.C.</v>
          </cell>
          <cell r="C84">
            <v>14304994000</v>
          </cell>
          <cell r="D84">
            <v>-65163920</v>
          </cell>
          <cell r="E84">
            <v>7836080</v>
          </cell>
          <cell r="F84">
            <v>14312830080</v>
          </cell>
          <cell r="G84">
            <v>0</v>
          </cell>
          <cell r="H84">
            <v>14312830080</v>
          </cell>
          <cell r="I84">
            <v>-3901332</v>
          </cell>
          <cell r="J84">
            <v>946567080</v>
          </cell>
          <cell r="K84">
            <v>6.6134165969222489E-2</v>
          </cell>
          <cell r="L84">
            <v>156079675</v>
          </cell>
          <cell r="M84">
            <v>314428938</v>
          </cell>
          <cell r="N84">
            <v>2.1968327454635721E-2</v>
          </cell>
        </row>
        <row r="85">
          <cell r="A85" t="str">
            <v>423011740022024000901000.</v>
          </cell>
          <cell r="B85" t="str">
            <v>Formulación, Gestión Y Estructuración De
Proyectos De Desarrollo, Revitalización O
Renov. - Vigencia</v>
          </cell>
          <cell r="C85">
            <v>14074994000</v>
          </cell>
          <cell r="D85">
            <v>0</v>
          </cell>
          <cell r="E85">
            <v>0</v>
          </cell>
          <cell r="F85">
            <v>14074994000</v>
          </cell>
          <cell r="G85">
            <v>0</v>
          </cell>
          <cell r="H85">
            <v>14074994000</v>
          </cell>
          <cell r="I85">
            <v>0</v>
          </cell>
          <cell r="J85">
            <v>708731000</v>
          </cell>
          <cell r="K85">
            <v>5.0353911340921355E-2</v>
          </cell>
          <cell r="L85">
            <v>77767100</v>
          </cell>
          <cell r="M85">
            <v>148463597</v>
          </cell>
          <cell r="N85">
            <v>1.0548039807334909E-2</v>
          </cell>
        </row>
        <row r="86">
          <cell r="A86" t="str">
            <v>423011740022024000901000C</v>
          </cell>
          <cell r="B86" t="str">
            <v>Formulación, Gestión Y Estructuración De
Proyectos De Desarrollo, Revitalización O
Renovación - Cxp</v>
          </cell>
          <cell r="C86">
            <v>230000000</v>
          </cell>
          <cell r="D86">
            <v>-65163920</v>
          </cell>
          <cell r="E86">
            <v>7836080</v>
          </cell>
          <cell r="F86">
            <v>237836080</v>
          </cell>
          <cell r="G86">
            <v>0</v>
          </cell>
          <cell r="H86">
            <v>237836080</v>
          </cell>
          <cell r="I86">
            <v>-3901332</v>
          </cell>
          <cell r="J86">
            <v>237836080</v>
          </cell>
          <cell r="K86">
            <v>1</v>
          </cell>
          <cell r="L86">
            <v>78312575</v>
          </cell>
          <cell r="M86">
            <v>165965341</v>
          </cell>
          <cell r="N86">
            <v>0.6978139775933071</v>
          </cell>
        </row>
        <row r="87">
          <cell r="A87" t="str">
            <v>423011745</v>
          </cell>
          <cell r="B87" t="str">
            <v>Gobierno Territorial</v>
          </cell>
          <cell r="C87">
            <v>8425000000</v>
          </cell>
          <cell r="D87">
            <v>-1787017857</v>
          </cell>
          <cell r="E87">
            <v>-1860017857</v>
          </cell>
          <cell r="F87">
            <v>6564982143</v>
          </cell>
          <cell r="G87">
            <v>0</v>
          </cell>
          <cell r="H87">
            <v>6564982143</v>
          </cell>
          <cell r="I87">
            <v>86000000</v>
          </cell>
          <cell r="J87">
            <v>3571955293</v>
          </cell>
          <cell r="K87">
            <v>0.54409215671799582</v>
          </cell>
          <cell r="L87">
            <v>224094570</v>
          </cell>
          <cell r="M87">
            <v>468475760</v>
          </cell>
          <cell r="N87">
            <v>7.1359791968287151E-2</v>
          </cell>
        </row>
        <row r="88">
          <cell r="A88" t="str">
            <v>42301174599</v>
          </cell>
          <cell r="B88" t="str">
            <v>Fortalecimiento a la  Gestión y Dirección de la Administración Pública Territorial</v>
          </cell>
          <cell r="C88">
            <v>8425000000</v>
          </cell>
          <cell r="D88">
            <v>-1787017857</v>
          </cell>
          <cell r="E88">
            <v>-1860017857</v>
          </cell>
          <cell r="F88">
            <v>6564982143</v>
          </cell>
          <cell r="G88">
            <v>0</v>
          </cell>
          <cell r="H88">
            <v>6564982143</v>
          </cell>
          <cell r="I88">
            <v>86000000</v>
          </cell>
          <cell r="J88">
            <v>3571955293</v>
          </cell>
          <cell r="K88">
            <v>0.54409215671799582</v>
          </cell>
          <cell r="L88">
            <v>224094570</v>
          </cell>
          <cell r="M88">
            <v>468475760</v>
          </cell>
          <cell r="N88">
            <v>7.1359791968287151E-2</v>
          </cell>
        </row>
        <row r="89">
          <cell r="A89" t="str">
            <v>423011745992024000301000</v>
          </cell>
          <cell r="B89" t="str">
            <v>Fortalecimiento Institucional RenoBo Bogotá D.C.</v>
          </cell>
          <cell r="C89">
            <v>8425000000</v>
          </cell>
          <cell r="D89">
            <v>-1787017857</v>
          </cell>
          <cell r="E89">
            <v>-1860017857</v>
          </cell>
          <cell r="F89">
            <v>6564982143</v>
          </cell>
          <cell r="G89">
            <v>0</v>
          </cell>
          <cell r="H89">
            <v>6564982143</v>
          </cell>
          <cell r="I89">
            <v>86000000</v>
          </cell>
          <cell r="J89">
            <v>3571955293</v>
          </cell>
          <cell r="K89">
            <v>0.54409215671799582</v>
          </cell>
          <cell r="L89">
            <v>224094570</v>
          </cell>
          <cell r="M89">
            <v>468475760</v>
          </cell>
          <cell r="N89">
            <v>7.1359791968287151E-2</v>
          </cell>
        </row>
        <row r="90">
          <cell r="A90" t="str">
            <v>423011745992024000301000.</v>
          </cell>
          <cell r="B90" t="str">
            <v>Fortalecimiento Institucional Renobo Bogotá
D.C. - Vigencia</v>
          </cell>
          <cell r="C90">
            <v>4925000000</v>
          </cell>
          <cell r="D90">
            <v>0</v>
          </cell>
          <cell r="E90">
            <v>0</v>
          </cell>
          <cell r="F90">
            <v>4925000000</v>
          </cell>
          <cell r="G90">
            <v>0</v>
          </cell>
          <cell r="H90">
            <v>4925000000</v>
          </cell>
          <cell r="I90">
            <v>86000000</v>
          </cell>
          <cell r="J90">
            <v>1949166149</v>
          </cell>
          <cell r="K90">
            <v>0.39576977644670053</v>
          </cell>
          <cell r="L90">
            <v>219294570</v>
          </cell>
          <cell r="M90">
            <v>389328027</v>
          </cell>
          <cell r="N90">
            <v>7.9051376040609134E-2</v>
          </cell>
        </row>
        <row r="91">
          <cell r="A91" t="str">
            <v>423011745992024000301000C</v>
          </cell>
          <cell r="B91" t="str">
            <v>Fortalecimiento Institucional Renobo Bogotá
D.C. - Cxp</v>
          </cell>
          <cell r="C91">
            <v>3500000000</v>
          </cell>
          <cell r="D91">
            <v>-1787017857</v>
          </cell>
          <cell r="E91">
            <v>-1860017857</v>
          </cell>
          <cell r="F91">
            <v>1639982143</v>
          </cell>
          <cell r="G91">
            <v>0</v>
          </cell>
          <cell r="H91">
            <v>1639982143</v>
          </cell>
          <cell r="I91">
            <v>0</v>
          </cell>
          <cell r="J91">
            <v>1622789144</v>
          </cell>
          <cell r="K91">
            <v>0.98951634987406079</v>
          </cell>
          <cell r="L91">
            <v>4800000</v>
          </cell>
          <cell r="M91">
            <v>79147733</v>
          </cell>
          <cell r="N91">
            <v>4.8261338294340199E-2</v>
          </cell>
        </row>
        <row r="92">
          <cell r="A92" t="str">
            <v>42303</v>
          </cell>
          <cell r="B92" t="str">
            <v>CUENTAS POR PAGAR INVERSIÓN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</row>
        <row r="93">
          <cell r="A93" t="str">
            <v>424</v>
          </cell>
          <cell r="B93" t="str">
            <v>GASTOS DE OPERACIÓN COMERCIAL</v>
          </cell>
          <cell r="C93">
            <v>307200645000</v>
          </cell>
          <cell r="D93">
            <v>-38425536564</v>
          </cell>
          <cell r="E93">
            <v>-38425536564</v>
          </cell>
          <cell r="F93">
            <v>268775108436</v>
          </cell>
          <cell r="G93">
            <v>0</v>
          </cell>
          <cell r="H93">
            <v>268775108436</v>
          </cell>
          <cell r="I93">
            <v>1042885483</v>
          </cell>
          <cell r="J93">
            <v>62132354692</v>
          </cell>
          <cell r="K93">
            <v>0.23116855966889058</v>
          </cell>
          <cell r="L93">
            <v>3341233332</v>
          </cell>
          <cell r="M93">
            <v>11346512599</v>
          </cell>
          <cell r="N93">
            <v>4.2215637694373032E-2</v>
          </cell>
        </row>
        <row r="94">
          <cell r="A94" t="str">
            <v>4245</v>
          </cell>
          <cell r="B94" t="str">
            <v>GASTOS DE COMERCIALIZACIÓN Y PRODUCCIÓN</v>
          </cell>
          <cell r="C94">
            <v>307200645000</v>
          </cell>
          <cell r="D94">
            <v>-38425536564</v>
          </cell>
          <cell r="E94">
            <v>-38425536564</v>
          </cell>
          <cell r="F94">
            <v>268775108436</v>
          </cell>
          <cell r="G94">
            <v>0</v>
          </cell>
          <cell r="H94">
            <v>268775108436</v>
          </cell>
          <cell r="I94">
            <v>1042885483</v>
          </cell>
          <cell r="J94">
            <v>62132354692</v>
          </cell>
          <cell r="K94">
            <v>0.23116855966889058</v>
          </cell>
          <cell r="L94">
            <v>3341233332</v>
          </cell>
          <cell r="M94">
            <v>11346512599</v>
          </cell>
          <cell r="N94">
            <v>4.2215637694373032E-2</v>
          </cell>
        </row>
        <row r="95">
          <cell r="A95" t="str">
            <v>424501</v>
          </cell>
          <cell r="B95" t="str">
            <v>Materiales y suministros</v>
          </cell>
          <cell r="C95">
            <v>1000000</v>
          </cell>
          <cell r="D95">
            <v>-1000000</v>
          </cell>
          <cell r="E95">
            <v>-1000000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</row>
        <row r="96">
          <cell r="A96" t="str">
            <v>42450103</v>
          </cell>
          <cell r="B96" t="str">
            <v>Otros bienes transportables (excepto productos metálicos, maquinaria y equipo)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</row>
        <row r="97">
          <cell r="A97" t="str">
            <v>42450103C</v>
          </cell>
          <cell r="B97" t="str">
            <v>Otros Bienes Transportables (Excepto
Productos Metálicos, Maquinaria Y Equipo)
Cxp</v>
          </cell>
          <cell r="C97">
            <v>1000000</v>
          </cell>
          <cell r="D97">
            <v>-1000000</v>
          </cell>
          <cell r="E97">
            <v>-1000000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</row>
        <row r="98">
          <cell r="A98" t="str">
            <v>42450104</v>
          </cell>
          <cell r="B98" t="str">
            <v>Productos Metálicos, Maquinaria Y Equipo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</row>
        <row r="99">
          <cell r="A99" t="str">
            <v>424502</v>
          </cell>
          <cell r="B99" t="str">
            <v>ADQUISICIÓN DE SERVICIOS</v>
          </cell>
          <cell r="C99">
            <v>307199645000</v>
          </cell>
          <cell r="D99">
            <v>-38424536564</v>
          </cell>
          <cell r="E99">
            <v>-38424536564</v>
          </cell>
          <cell r="F99">
            <v>268775108436</v>
          </cell>
          <cell r="G99">
            <v>0</v>
          </cell>
          <cell r="H99">
            <v>268775108436</v>
          </cell>
          <cell r="I99">
            <v>1042885483</v>
          </cell>
          <cell r="J99">
            <v>62132354692</v>
          </cell>
          <cell r="K99">
            <v>0.23116855966889058</v>
          </cell>
          <cell r="L99">
            <v>3341233332</v>
          </cell>
          <cell r="M99">
            <v>11346512599</v>
          </cell>
          <cell r="N99">
            <v>4.2215637694373032E-2</v>
          </cell>
        </row>
        <row r="100">
          <cell r="A100" t="str">
            <v>42450205</v>
          </cell>
          <cell r="B100" t="str">
            <v>Servicios de la construcción</v>
          </cell>
          <cell r="C100">
            <v>36000000000</v>
          </cell>
          <cell r="D100">
            <v>-451109</v>
          </cell>
          <cell r="E100">
            <v>44548891</v>
          </cell>
          <cell r="F100">
            <v>36044548891</v>
          </cell>
          <cell r="G100">
            <v>0</v>
          </cell>
          <cell r="H100">
            <v>36044548891</v>
          </cell>
          <cell r="I100">
            <v>0</v>
          </cell>
          <cell r="J100">
            <v>44548891</v>
          </cell>
          <cell r="K100">
            <v>1.2359397570688825E-3</v>
          </cell>
          <cell r="L100">
            <v>13050011</v>
          </cell>
          <cell r="M100">
            <v>13050011</v>
          </cell>
          <cell r="N100">
            <v>3.6205227701596981E-4</v>
          </cell>
        </row>
        <row r="101">
          <cell r="A101" t="str">
            <v>42450205.</v>
          </cell>
          <cell r="B101" t="str">
            <v>Construcción Y Servicios De La
Construcción - Vigencia</v>
          </cell>
          <cell r="C101">
            <v>36000000000</v>
          </cell>
          <cell r="D101">
            <v>0</v>
          </cell>
          <cell r="E101">
            <v>0</v>
          </cell>
          <cell r="F101">
            <v>36000000000</v>
          </cell>
          <cell r="G101">
            <v>0</v>
          </cell>
          <cell r="H101">
            <v>36000000000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</row>
        <row r="102">
          <cell r="A102" t="str">
            <v>42450205C</v>
          </cell>
          <cell r="B102" t="str">
            <v>Construcción Y Servicios De La
Construcción - Cxp</v>
          </cell>
          <cell r="C102">
            <v>0</v>
          </cell>
          <cell r="D102">
            <v>-451109</v>
          </cell>
          <cell r="E102">
            <v>44548891</v>
          </cell>
          <cell r="F102">
            <v>44548891</v>
          </cell>
          <cell r="G102">
            <v>0</v>
          </cell>
          <cell r="H102">
            <v>44548891</v>
          </cell>
          <cell r="I102">
            <v>0</v>
          </cell>
          <cell r="J102">
            <v>44548891</v>
          </cell>
          <cell r="K102">
            <v>1</v>
          </cell>
          <cell r="L102">
            <v>13050011</v>
          </cell>
          <cell r="M102">
            <v>13050011</v>
          </cell>
          <cell r="N102">
            <v>0.29293683203022947</v>
          </cell>
        </row>
        <row r="103">
          <cell r="A103" t="str">
            <v>42450206</v>
          </cell>
          <cell r="B103" t="str">
            <v>Servicios de alojamiento; servicios de suministro de comidas y bebidas; servicios de transporte; y servicios de distribución de electricidad, gas y agua</v>
          </cell>
          <cell r="C103">
            <v>20000000</v>
          </cell>
          <cell r="D103">
            <v>-5840420</v>
          </cell>
          <cell r="E103">
            <v>54159580</v>
          </cell>
          <cell r="F103">
            <v>74159580</v>
          </cell>
          <cell r="G103">
            <v>0</v>
          </cell>
          <cell r="H103">
            <v>74159580</v>
          </cell>
          <cell r="I103">
            <v>0</v>
          </cell>
          <cell r="J103">
            <v>15696680</v>
          </cell>
          <cell r="K103">
            <v>0.21166085352694824</v>
          </cell>
          <cell r="L103">
            <v>0</v>
          </cell>
          <cell r="M103">
            <v>1637100</v>
          </cell>
          <cell r="N103">
            <v>2.2075367740755813E-2</v>
          </cell>
        </row>
        <row r="104">
          <cell r="A104" t="str">
            <v>42450206.</v>
          </cell>
          <cell r="B104" t="str">
            <v>Comercio Y Distribución; Alojamiento;
Servicios De Suministro De Comidas Y
Bebidas - Vigencia</v>
          </cell>
          <cell r="C104">
            <v>0</v>
          </cell>
          <cell r="D104">
            <v>0</v>
          </cell>
          <cell r="E104">
            <v>60100000</v>
          </cell>
          <cell r="F104">
            <v>60100000</v>
          </cell>
          <cell r="G104">
            <v>0</v>
          </cell>
          <cell r="H104">
            <v>60100000</v>
          </cell>
          <cell r="I104">
            <v>0</v>
          </cell>
          <cell r="J104">
            <v>1637100</v>
          </cell>
          <cell r="K104">
            <v>2.7239600665557404E-2</v>
          </cell>
          <cell r="L104">
            <v>0</v>
          </cell>
          <cell r="M104">
            <v>1637100</v>
          </cell>
          <cell r="N104">
            <v>2.7239600665557404E-2</v>
          </cell>
        </row>
        <row r="105">
          <cell r="A105" t="str">
            <v>42450206C</v>
          </cell>
          <cell r="B105" t="str">
            <v>Servicios De Alojamiento; Servicios De
Suministro De Comidas Y Bebidas; Serv.
De Transporte Cxp</v>
          </cell>
          <cell r="C105">
            <v>20000000</v>
          </cell>
          <cell r="D105">
            <v>-5840420</v>
          </cell>
          <cell r="E105">
            <v>-5940420</v>
          </cell>
          <cell r="F105">
            <v>14059580</v>
          </cell>
          <cell r="G105">
            <v>0</v>
          </cell>
          <cell r="H105">
            <v>14059580</v>
          </cell>
          <cell r="I105">
            <v>0</v>
          </cell>
          <cell r="J105">
            <v>14059580</v>
          </cell>
          <cell r="K105">
            <v>1</v>
          </cell>
          <cell r="L105">
            <v>0</v>
          </cell>
          <cell r="M105">
            <v>0</v>
          </cell>
          <cell r="N105">
            <v>0</v>
          </cell>
        </row>
        <row r="106">
          <cell r="A106" t="str">
            <v>42450207</v>
          </cell>
          <cell r="B106" t="str">
            <v>Servicios financieros y servicios conexos, servicios inmobiliarios y servicios de leasing</v>
          </cell>
          <cell r="C106">
            <v>0</v>
          </cell>
          <cell r="D106">
            <v>0</v>
          </cell>
          <cell r="E106">
            <v>1119447790</v>
          </cell>
          <cell r="F106">
            <v>1119447790</v>
          </cell>
          <cell r="G106">
            <v>0</v>
          </cell>
          <cell r="H106">
            <v>1119447790</v>
          </cell>
          <cell r="I106">
            <v>103920</v>
          </cell>
          <cell r="J106">
            <v>547427010</v>
          </cell>
          <cell r="K106">
            <v>0.48901522240711198</v>
          </cell>
          <cell r="L106">
            <v>103920</v>
          </cell>
          <cell r="M106">
            <v>274410</v>
          </cell>
          <cell r="N106">
            <v>2.4512978850045342E-4</v>
          </cell>
        </row>
        <row r="107">
          <cell r="A107" t="str">
            <v>42450207C</v>
          </cell>
          <cell r="B107" t="str">
            <v>Servicios Financieros Y Servicios Conexos,
Servicios Inmobiliarios Y Servicios De
Leasing - Cxp</v>
          </cell>
          <cell r="C107">
            <v>64045800</v>
          </cell>
          <cell r="D107">
            <v>0</v>
          </cell>
          <cell r="E107">
            <v>0</v>
          </cell>
          <cell r="F107">
            <v>64045800</v>
          </cell>
          <cell r="G107">
            <v>0</v>
          </cell>
          <cell r="H107">
            <v>64045800</v>
          </cell>
          <cell r="I107">
            <v>0</v>
          </cell>
          <cell r="J107">
            <v>64045800</v>
          </cell>
          <cell r="K107">
            <v>1</v>
          </cell>
          <cell r="L107">
            <v>0</v>
          </cell>
          <cell r="M107">
            <v>0</v>
          </cell>
          <cell r="N107">
            <v>0</v>
          </cell>
        </row>
        <row r="108">
          <cell r="A108" t="str">
            <v>42450208</v>
          </cell>
          <cell r="B108" t="str">
            <v>SERVICIOS PRESTADOS A LAS EMPRESAS Y SERVICIOS DE PRODUCCIÓN</v>
          </cell>
          <cell r="C108">
            <v>271115599200</v>
          </cell>
          <cell r="D108">
            <v>-38418245035</v>
          </cell>
          <cell r="E108">
            <v>-39682692825</v>
          </cell>
          <cell r="F108">
            <v>231432906375</v>
          </cell>
          <cell r="G108">
            <v>0</v>
          </cell>
          <cell r="H108">
            <v>231432906375</v>
          </cell>
          <cell r="I108">
            <v>1042781563</v>
          </cell>
          <cell r="J108">
            <v>61420992311</v>
          </cell>
          <cell r="K108">
            <v>0.26539437832352636</v>
          </cell>
          <cell r="L108">
            <v>3328079401</v>
          </cell>
          <cell r="M108">
            <v>11331551078</v>
          </cell>
          <cell r="N108">
            <v>4.8962575182109301E-2</v>
          </cell>
        </row>
        <row r="109">
          <cell r="A109" t="str">
            <v>42450208.</v>
          </cell>
          <cell r="B109" t="str">
            <v>SERVICIOS PRESTADOS A LAS EMPRESAS Y SERVICIOS D
E PRODUCCIÓN</v>
          </cell>
          <cell r="C109">
            <v>191200645000</v>
          </cell>
          <cell r="D109">
            <v>0</v>
          </cell>
          <cell r="E109">
            <v>-1179447790</v>
          </cell>
          <cell r="F109">
            <v>190021197210</v>
          </cell>
          <cell r="G109">
            <v>0</v>
          </cell>
          <cell r="H109">
            <v>190021197210</v>
          </cell>
          <cell r="I109">
            <v>1055081563</v>
          </cell>
          <cell r="J109">
            <v>20028411816</v>
          </cell>
          <cell r="K109">
            <v>0.10540093479079496</v>
          </cell>
          <cell r="L109">
            <v>2265626030</v>
          </cell>
          <cell r="M109">
            <v>3656550203</v>
          </cell>
          <cell r="N109">
            <v>1.92428542535652E-2</v>
          </cell>
        </row>
        <row r="110">
          <cell r="A110" t="str">
            <v>42450208C</v>
          </cell>
          <cell r="B110" t="str">
            <v>Servicios prestados a las empresas y servicios de producción - CXP</v>
          </cell>
          <cell r="C110">
            <v>79914954200</v>
          </cell>
          <cell r="D110">
            <v>-38418245035</v>
          </cell>
          <cell r="E110">
            <v>-38503245035</v>
          </cell>
          <cell r="F110">
            <v>41411709165</v>
          </cell>
          <cell r="G110">
            <v>0</v>
          </cell>
          <cell r="H110">
            <v>41411709165</v>
          </cell>
          <cell r="I110">
            <v>-12300000</v>
          </cell>
          <cell r="J110">
            <v>41392580495</v>
          </cell>
          <cell r="K110">
            <v>0.99953808547423662</v>
          </cell>
          <cell r="L110">
            <v>1062453371</v>
          </cell>
          <cell r="M110">
            <v>7675000875</v>
          </cell>
          <cell r="N110">
            <v>0.18533407651492667</v>
          </cell>
        </row>
        <row r="111">
          <cell r="A111" t="str">
            <v>42450209</v>
          </cell>
          <cell r="B111" t="str">
            <v>SERVICIOS PARA LA COMUNIDAD, SOCIALES Y PERSONALES</v>
          </cell>
          <cell r="C111">
            <v>0</v>
          </cell>
          <cell r="D111">
            <v>0</v>
          </cell>
          <cell r="E111">
            <v>40000000</v>
          </cell>
          <cell r="F111">
            <v>40000000</v>
          </cell>
          <cell r="G111">
            <v>0</v>
          </cell>
          <cell r="H111">
            <v>40000000</v>
          </cell>
          <cell r="I111">
            <v>0</v>
          </cell>
          <cell r="J111">
            <v>39644000</v>
          </cell>
          <cell r="K111">
            <v>0.99109999999999998</v>
          </cell>
          <cell r="L111">
            <v>0</v>
          </cell>
          <cell r="M111">
            <v>0</v>
          </cell>
          <cell r="N111">
            <v>0</v>
          </cell>
        </row>
        <row r="112">
          <cell r="A112" t="str">
            <v>42450209C</v>
          </cell>
          <cell r="B112" t="str">
            <v>Servicios Para La Comunidad, Sociales Y
Personales - Cxp</v>
          </cell>
          <cell r="C112">
            <v>0</v>
          </cell>
          <cell r="D112">
            <v>0</v>
          </cell>
          <cell r="E112">
            <v>40000000</v>
          </cell>
          <cell r="F112">
            <v>40000000</v>
          </cell>
          <cell r="G112">
            <v>0</v>
          </cell>
          <cell r="H112">
            <v>40000000</v>
          </cell>
          <cell r="I112">
            <v>0</v>
          </cell>
          <cell r="J112">
            <v>39644000</v>
          </cell>
          <cell r="K112">
            <v>0.99109999999999998</v>
          </cell>
          <cell r="L112">
            <v>0</v>
          </cell>
          <cell r="M112">
            <v>0</v>
          </cell>
          <cell r="N112">
            <v>0</v>
          </cell>
        </row>
        <row r="113">
          <cell r="A113" t="str">
            <v>43</v>
          </cell>
          <cell r="B113" t="str">
            <v>DISPONIBILIDAD FINAL</v>
          </cell>
          <cell r="C113">
            <v>124997973000</v>
          </cell>
          <cell r="D113">
            <v>136085998782</v>
          </cell>
          <cell r="E113">
            <v>136085998782</v>
          </cell>
          <cell r="F113">
            <v>261083971782</v>
          </cell>
          <cell r="G113">
            <v>0</v>
          </cell>
          <cell r="H113">
            <v>261083971782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</row>
        <row r="114">
          <cell r="F114">
            <v>0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D2A63A-24E7-489D-94A6-22C9F0F7266A}">
  <dimension ref="A1:R116"/>
  <sheetViews>
    <sheetView tabSelected="1" zoomScale="85" zoomScaleNormal="85" workbookViewId="0">
      <pane xSplit="3" ySplit="9" topLeftCell="D10" activePane="bottomRight" state="frozen"/>
      <selection activeCell="B1" sqref="B1"/>
      <selection pane="topRight" activeCell="D1" sqref="D1"/>
      <selection pane="bottomLeft" activeCell="B10" sqref="B10"/>
      <selection pane="bottomRight" activeCell="B10" sqref="B10"/>
    </sheetView>
  </sheetViews>
  <sheetFormatPr baseColWidth="10" defaultColWidth="9.140625" defaultRowHeight="13.5" x14ac:dyDescent="0.25"/>
  <cols>
    <col min="1" max="1" width="9.140625" style="15" hidden="1" customWidth="1"/>
    <col min="2" max="2" width="28.28515625" style="15" customWidth="1"/>
    <col min="3" max="3" width="78.5703125" style="15" customWidth="1"/>
    <col min="4" max="7" width="21.28515625" style="15" customWidth="1"/>
    <col min="8" max="8" width="18" style="15" customWidth="1"/>
    <col min="9" max="11" width="21.28515625" style="15" customWidth="1"/>
    <col min="12" max="12" width="8.7109375" style="15" customWidth="1"/>
    <col min="13" max="14" width="21.28515625" style="15" customWidth="1"/>
    <col min="15" max="15" width="8.7109375" style="15" customWidth="1"/>
    <col min="16" max="16" width="5.7109375" style="16" bestFit="1" customWidth="1"/>
    <col min="17" max="17" width="17.42578125" style="15" bestFit="1" customWidth="1"/>
    <col min="18" max="18" width="12.7109375" style="15" bestFit="1" customWidth="1"/>
    <col min="19" max="16384" width="9.140625" style="15"/>
  </cols>
  <sheetData>
    <row r="1" spans="2:18" s="3" customFormat="1" ht="12.75" x14ac:dyDescent="0.2">
      <c r="B1" s="1"/>
      <c r="C1" s="2"/>
      <c r="D1" s="2"/>
      <c r="E1" s="2"/>
      <c r="F1" s="2"/>
      <c r="L1" s="4"/>
      <c r="O1" s="4"/>
      <c r="P1" s="5"/>
    </row>
    <row r="2" spans="2:18" s="3" customFormat="1" ht="20.25" x14ac:dyDescent="0.2">
      <c r="B2" s="6"/>
      <c r="C2" s="2"/>
      <c r="D2" s="7"/>
      <c r="E2" s="7"/>
      <c r="G2" s="7"/>
      <c r="H2" s="8" t="s">
        <v>0</v>
      </c>
      <c r="I2" s="7"/>
      <c r="J2" s="7"/>
      <c r="K2" s="7"/>
      <c r="L2" s="9"/>
      <c r="M2" s="7"/>
      <c r="N2" s="7"/>
      <c r="O2" s="10"/>
      <c r="P2" s="5"/>
    </row>
    <row r="3" spans="2:18" s="3" customFormat="1" ht="12.75" x14ac:dyDescent="0.2">
      <c r="B3" s="6"/>
      <c r="C3" s="2"/>
      <c r="D3" s="11"/>
      <c r="E3" s="11"/>
      <c r="G3" s="11"/>
      <c r="H3" s="11"/>
      <c r="I3" s="11"/>
      <c r="J3" s="11"/>
      <c r="K3" s="11"/>
      <c r="L3" s="12"/>
      <c r="M3" s="11"/>
      <c r="N3" s="11"/>
      <c r="O3" s="13"/>
      <c r="P3" s="5"/>
    </row>
    <row r="4" spans="2:18" s="3" customFormat="1" ht="20.25" x14ac:dyDescent="0.2">
      <c r="B4" s="6"/>
      <c r="C4" s="2"/>
      <c r="D4" s="11"/>
      <c r="E4" s="11"/>
      <c r="G4" s="11"/>
      <c r="H4" s="14" t="s">
        <v>1</v>
      </c>
      <c r="I4" s="11"/>
      <c r="J4" s="11"/>
      <c r="K4" s="11"/>
      <c r="L4" s="11"/>
      <c r="M4" s="11"/>
      <c r="N4" s="11"/>
      <c r="O4" s="13"/>
      <c r="P4" s="5"/>
    </row>
    <row r="6" spans="2:18" ht="30" customHeight="1" x14ac:dyDescent="0.25"/>
    <row r="7" spans="2:18" s="3" customFormat="1" ht="11.25" customHeight="1" x14ac:dyDescent="0.2">
      <c r="B7" s="17" t="s">
        <v>2</v>
      </c>
      <c r="C7" s="18" t="s">
        <v>3</v>
      </c>
      <c r="D7" s="18" t="s">
        <v>4</v>
      </c>
      <c r="E7" s="18" t="s">
        <v>5</v>
      </c>
      <c r="F7" s="18" t="s">
        <v>6</v>
      </c>
      <c r="G7" s="18" t="s">
        <v>7</v>
      </c>
      <c r="H7" s="18" t="s">
        <v>8</v>
      </c>
      <c r="I7" s="18" t="s">
        <v>7</v>
      </c>
      <c r="J7" s="18" t="s">
        <v>9</v>
      </c>
      <c r="K7" s="18" t="s">
        <v>10</v>
      </c>
      <c r="L7" s="19" t="s">
        <v>11</v>
      </c>
      <c r="M7" s="20" t="s">
        <v>12</v>
      </c>
      <c r="N7" s="18" t="s">
        <v>13</v>
      </c>
      <c r="O7" s="19" t="s">
        <v>14</v>
      </c>
      <c r="P7" s="5"/>
    </row>
    <row r="8" spans="2:18" s="3" customFormat="1" ht="11.25" customHeight="1" x14ac:dyDescent="0.2">
      <c r="B8" s="17"/>
      <c r="C8" s="18"/>
      <c r="D8" s="18"/>
      <c r="E8" s="18" t="s">
        <v>15</v>
      </c>
      <c r="F8" s="18" t="s">
        <v>16</v>
      </c>
      <c r="G8" s="18" t="s">
        <v>17</v>
      </c>
      <c r="H8" s="18" t="s">
        <v>18</v>
      </c>
      <c r="I8" s="18" t="s">
        <v>19</v>
      </c>
      <c r="J8" s="18"/>
      <c r="K8" s="18" t="s">
        <v>20</v>
      </c>
      <c r="L8" s="19"/>
      <c r="M8" s="20"/>
      <c r="N8" s="18" t="s">
        <v>20</v>
      </c>
      <c r="O8" s="19"/>
      <c r="P8" s="5"/>
    </row>
    <row r="9" spans="2:18" s="3" customFormat="1" ht="11.25" customHeight="1" x14ac:dyDescent="0.2">
      <c r="B9" s="17">
        <v>1</v>
      </c>
      <c r="C9" s="18">
        <v>2</v>
      </c>
      <c r="D9" s="18">
        <v>3</v>
      </c>
      <c r="E9" s="18">
        <v>4</v>
      </c>
      <c r="F9" s="18">
        <v>5</v>
      </c>
      <c r="G9" s="18" t="s">
        <v>21</v>
      </c>
      <c r="H9" s="18">
        <v>7</v>
      </c>
      <c r="I9" s="18" t="s">
        <v>22</v>
      </c>
      <c r="J9" s="18">
        <v>9</v>
      </c>
      <c r="K9" s="18">
        <v>10</v>
      </c>
      <c r="L9" s="19" t="s">
        <v>23</v>
      </c>
      <c r="M9" s="18">
        <v>12</v>
      </c>
      <c r="N9" s="18">
        <v>13</v>
      </c>
      <c r="O9" s="19" t="s">
        <v>24</v>
      </c>
      <c r="P9" s="5"/>
    </row>
    <row r="10" spans="2:18" ht="17.25" customHeight="1" x14ac:dyDescent="0.25">
      <c r="B10" s="21" t="s">
        <v>25</v>
      </c>
      <c r="C10" s="22" t="s">
        <v>26</v>
      </c>
      <c r="D10" s="23">
        <f>+D11+D62+D75</f>
        <v>538478104000</v>
      </c>
      <c r="E10" s="23">
        <f>+E11+E62+E75</f>
        <v>63455811769</v>
      </c>
      <c r="F10" s="23">
        <f>+F11+F62+F75</f>
        <v>63455811769</v>
      </c>
      <c r="G10" s="23">
        <f>+D10+F10</f>
        <v>601933915769</v>
      </c>
      <c r="H10" s="23">
        <f>+H11+H62+H75</f>
        <v>0</v>
      </c>
      <c r="I10" s="23">
        <f>+G10-H10</f>
        <v>601933915769</v>
      </c>
      <c r="J10" s="23">
        <f>+J11+J62+J75</f>
        <v>114811552392</v>
      </c>
      <c r="K10" s="23">
        <f>+K11+K62+K75</f>
        <v>327881814920</v>
      </c>
      <c r="L10" s="24">
        <f>IFERROR(K10/I10,0)</f>
        <v>0.54471397329574789</v>
      </c>
      <c r="M10" s="23">
        <f>+M11+M62+M75</f>
        <v>10937724232</v>
      </c>
      <c r="N10" s="23">
        <f>+N11+N62+N75</f>
        <v>27714762843</v>
      </c>
      <c r="O10" s="24">
        <f>IFERROR(N10/I10,0)</f>
        <v>4.6042866362818312E-2</v>
      </c>
      <c r="P10" s="25">
        <f>LEN(B10)</f>
        <v>2</v>
      </c>
      <c r="Q10" s="26"/>
      <c r="R10" s="26"/>
    </row>
    <row r="11" spans="2:18" ht="17.25" customHeight="1" x14ac:dyDescent="0.25">
      <c r="B11" s="21" t="s">
        <v>27</v>
      </c>
      <c r="C11" s="22" t="s">
        <v>28</v>
      </c>
      <c r="D11" s="23">
        <f>+D12+D41+D53+D57</f>
        <v>53905326000</v>
      </c>
      <c r="E11" s="23">
        <f>+E12+E41+E53+E57</f>
        <v>-4303005505</v>
      </c>
      <c r="F11" s="23">
        <f>+F12+F41+F53+F57</f>
        <v>-4303005505</v>
      </c>
      <c r="G11" s="23">
        <f t="shared" ref="G11:G62" si="0">+D11+F11</f>
        <v>49602320495</v>
      </c>
      <c r="H11" s="23">
        <f>+H12+H41+H53+H57</f>
        <v>0</v>
      </c>
      <c r="I11" s="23">
        <f t="shared" ref="I11:I62" si="1">+G11-H11</f>
        <v>49602320495</v>
      </c>
      <c r="J11" s="23">
        <f>+J12+J41+J53+J57</f>
        <v>3005260381</v>
      </c>
      <c r="K11" s="23">
        <f>+K12+K41+K53+K57</f>
        <v>22685609971</v>
      </c>
      <c r="L11" s="24">
        <f t="shared" ref="L11:L62" si="2">IFERROR(K11/I11,0)</f>
        <v>0.45734977203912769</v>
      </c>
      <c r="M11" s="23">
        <f>+M12+M41+M53+M57</f>
        <v>5542830117</v>
      </c>
      <c r="N11" s="23">
        <f>+N12+N41+N53+N57</f>
        <v>13579261226</v>
      </c>
      <c r="O11" s="24">
        <f t="shared" ref="O11:O74" si="3">IFERROR(N11/I11,0)</f>
        <v>0.27376262018565872</v>
      </c>
      <c r="P11" s="25">
        <f t="shared" ref="P11:P74" si="4">LEN(B11)</f>
        <v>3</v>
      </c>
      <c r="Q11" s="26"/>
      <c r="R11" s="26"/>
    </row>
    <row r="12" spans="2:18" ht="17.25" customHeight="1" x14ac:dyDescent="0.25">
      <c r="B12" s="21" t="s">
        <v>29</v>
      </c>
      <c r="C12" s="22" t="s">
        <v>30</v>
      </c>
      <c r="D12" s="23">
        <f>+D13</f>
        <v>19490091000</v>
      </c>
      <c r="E12" s="23">
        <f>+E13</f>
        <v>-27732527</v>
      </c>
      <c r="F12" s="23">
        <f>+F13</f>
        <v>-627732527</v>
      </c>
      <c r="G12" s="23">
        <f t="shared" si="0"/>
        <v>18862358473</v>
      </c>
      <c r="H12" s="23">
        <f>+H13</f>
        <v>0</v>
      </c>
      <c r="I12" s="23">
        <f t="shared" si="1"/>
        <v>18862358473</v>
      </c>
      <c r="J12" s="23">
        <f>+J13</f>
        <v>1030925005</v>
      </c>
      <c r="K12" s="23">
        <f>+K13</f>
        <v>5215467938</v>
      </c>
      <c r="L12" s="24">
        <f t="shared" si="2"/>
        <v>0.27650136887524096</v>
      </c>
      <c r="M12" s="23">
        <f>+M13</f>
        <v>1064247965</v>
      </c>
      <c r="N12" s="23">
        <f>+N13</f>
        <v>5215005783</v>
      </c>
      <c r="O12" s="24">
        <f t="shared" si="3"/>
        <v>0.27647686743229249</v>
      </c>
      <c r="P12" s="25">
        <f t="shared" si="4"/>
        <v>4</v>
      </c>
      <c r="Q12" s="26"/>
      <c r="R12" s="26"/>
    </row>
    <row r="13" spans="2:18" ht="17.25" customHeight="1" x14ac:dyDescent="0.25">
      <c r="B13" s="27" t="s">
        <v>31</v>
      </c>
      <c r="C13" s="28" t="s">
        <v>32</v>
      </c>
      <c r="D13" s="29">
        <f>+D14+D27+D35</f>
        <v>19490091000</v>
      </c>
      <c r="E13" s="29">
        <f>+E14+E27+E35</f>
        <v>-27732527</v>
      </c>
      <c r="F13" s="29">
        <f>+F14+F27+F35</f>
        <v>-627732527</v>
      </c>
      <c r="G13" s="29">
        <f t="shared" si="0"/>
        <v>18862358473</v>
      </c>
      <c r="H13" s="29">
        <f>+H14+H27+H35</f>
        <v>0</v>
      </c>
      <c r="I13" s="29">
        <f t="shared" si="1"/>
        <v>18862358473</v>
      </c>
      <c r="J13" s="29">
        <f>+J14+J27+J35</f>
        <v>1030925005</v>
      </c>
      <c r="K13" s="29">
        <f>+K14+K27+K35</f>
        <v>5215467938</v>
      </c>
      <c r="L13" s="30">
        <f t="shared" si="2"/>
        <v>0.27650136887524096</v>
      </c>
      <c r="M13" s="29">
        <f>+M14+M27+M35</f>
        <v>1064247965</v>
      </c>
      <c r="N13" s="29">
        <f>+N14+N27+N35</f>
        <v>5215005783</v>
      </c>
      <c r="O13" s="30">
        <f t="shared" si="3"/>
        <v>0.27647686743229249</v>
      </c>
      <c r="P13" s="25">
        <f t="shared" si="4"/>
        <v>6</v>
      </c>
      <c r="Q13" s="26"/>
      <c r="R13" s="26"/>
    </row>
    <row r="14" spans="2:18" ht="17.25" customHeight="1" x14ac:dyDescent="0.25">
      <c r="B14" s="27" t="s">
        <v>33</v>
      </c>
      <c r="C14" s="28" t="s">
        <v>34</v>
      </c>
      <c r="D14" s="29">
        <f>+D15</f>
        <v>13066324000</v>
      </c>
      <c r="E14" s="29">
        <f>+E15</f>
        <v>0</v>
      </c>
      <c r="F14" s="29">
        <f>+F15</f>
        <v>150000000</v>
      </c>
      <c r="G14" s="29">
        <f t="shared" si="0"/>
        <v>13216324000</v>
      </c>
      <c r="H14" s="29">
        <f>+H15</f>
        <v>0</v>
      </c>
      <c r="I14" s="29">
        <f t="shared" si="1"/>
        <v>13216324000</v>
      </c>
      <c r="J14" s="29">
        <f>+J15</f>
        <v>843097998</v>
      </c>
      <c r="K14" s="29">
        <f>+K15</f>
        <v>3416914600</v>
      </c>
      <c r="L14" s="30">
        <f t="shared" si="2"/>
        <v>0.25853744203002288</v>
      </c>
      <c r="M14" s="29">
        <f>+M15</f>
        <v>847895731</v>
      </c>
      <c r="N14" s="29">
        <f>+N15</f>
        <v>3416452445</v>
      </c>
      <c r="O14" s="30">
        <f t="shared" si="3"/>
        <v>0.25850247353197453</v>
      </c>
      <c r="P14" s="25">
        <f t="shared" si="4"/>
        <v>8</v>
      </c>
      <c r="Q14" s="26"/>
      <c r="R14" s="26"/>
    </row>
    <row r="15" spans="2:18" ht="17.25" customHeight="1" x14ac:dyDescent="0.25">
      <c r="B15" s="27" t="s">
        <v>35</v>
      </c>
      <c r="C15" s="28" t="s">
        <v>36</v>
      </c>
      <c r="D15" s="29">
        <f>SUM(D16:D23)+D26</f>
        <v>13066324000</v>
      </c>
      <c r="E15" s="29">
        <f>SUM(E16:E23)+E26</f>
        <v>0</v>
      </c>
      <c r="F15" s="29">
        <f>SUM(F16:F23)+F26</f>
        <v>150000000</v>
      </c>
      <c r="G15" s="29">
        <f t="shared" si="0"/>
        <v>13216324000</v>
      </c>
      <c r="H15" s="29">
        <f>SUM(H16:H23)+H26</f>
        <v>0</v>
      </c>
      <c r="I15" s="29">
        <f t="shared" si="1"/>
        <v>13216324000</v>
      </c>
      <c r="J15" s="29">
        <f>SUM(J16:J23)+J26</f>
        <v>843097998</v>
      </c>
      <c r="K15" s="29">
        <f>SUM(K16:K23)+K26</f>
        <v>3416914600</v>
      </c>
      <c r="L15" s="30">
        <f t="shared" si="2"/>
        <v>0.25853744203002288</v>
      </c>
      <c r="M15" s="29">
        <f>SUM(M16:M23)+M26</f>
        <v>847895731</v>
      </c>
      <c r="N15" s="29">
        <f>SUM(N16:N23)+N26</f>
        <v>3416452445</v>
      </c>
      <c r="O15" s="30">
        <f t="shared" si="3"/>
        <v>0.25850247353197453</v>
      </c>
      <c r="P15" s="25">
        <f t="shared" si="4"/>
        <v>11</v>
      </c>
      <c r="Q15" s="26"/>
      <c r="R15" s="26"/>
    </row>
    <row r="16" spans="2:18" ht="17.25" customHeight="1" x14ac:dyDescent="0.25">
      <c r="B16" s="31" t="s">
        <v>37</v>
      </c>
      <c r="C16" s="32" t="s">
        <v>38</v>
      </c>
      <c r="D16" s="33">
        <f>VLOOKUP($B16,[1]DATOS!$A$1:$N$113,3,FALSE)</f>
        <v>7646585000</v>
      </c>
      <c r="E16" s="33">
        <f>VLOOKUP($B16,[1]DATOS!$A$1:$N$113,4,FALSE)</f>
        <v>0</v>
      </c>
      <c r="F16" s="33">
        <f>VLOOKUP($B16,[1]DATOS!$A$1:$N$113,5,FALSE)</f>
        <v>0</v>
      </c>
      <c r="G16" s="33">
        <f t="shared" si="0"/>
        <v>7646585000</v>
      </c>
      <c r="H16" s="33">
        <f>VLOOKUP($B16,[1]DATOS!$A$1:$N$113,7,FALSE)</f>
        <v>0</v>
      </c>
      <c r="I16" s="33">
        <f t="shared" si="1"/>
        <v>7646585000</v>
      </c>
      <c r="J16" s="33">
        <f>VLOOKUP($B16,[1]DATOS!$A$1:$N$113,9,FALSE)</f>
        <v>619034889</v>
      </c>
      <c r="K16" s="33">
        <f>VLOOKUP($B16,[1]DATOS!$A$1:$N$113,10,FALSE)</f>
        <v>2431779680</v>
      </c>
      <c r="L16" s="34">
        <f t="shared" si="2"/>
        <v>0.31802166326536618</v>
      </c>
      <c r="M16" s="33">
        <f>VLOOKUP($B16,[1]DATOS!$A$1:$N$113,12,FALSE)</f>
        <v>621700296</v>
      </c>
      <c r="N16" s="33">
        <f>VLOOKUP($B16,[1]DATOS!$A$1:$N$113,13,FALSE)</f>
        <v>2431317525</v>
      </c>
      <c r="O16" s="34">
        <f t="shared" si="3"/>
        <v>0.31796122386660186</v>
      </c>
      <c r="P16" s="25">
        <f t="shared" si="4"/>
        <v>13</v>
      </c>
      <c r="Q16" s="26"/>
      <c r="R16" s="26"/>
    </row>
    <row r="17" spans="2:18" ht="17.25" customHeight="1" x14ac:dyDescent="0.25">
      <c r="B17" s="31" t="s">
        <v>39</v>
      </c>
      <c r="C17" s="32" t="s">
        <v>40</v>
      </c>
      <c r="D17" s="33">
        <f>VLOOKUP($B17,[1]DATOS!$A$1:$N$113,3,FALSE)</f>
        <v>340595000</v>
      </c>
      <c r="E17" s="33">
        <f>VLOOKUP($B17,[1]DATOS!$A$1:$N$113,4,FALSE)</f>
        <v>0</v>
      </c>
      <c r="F17" s="33">
        <f>VLOOKUP($B17,[1]DATOS!$A$1:$N$113,5,FALSE)</f>
        <v>-264000000</v>
      </c>
      <c r="G17" s="33">
        <f t="shared" si="0"/>
        <v>76595000</v>
      </c>
      <c r="H17" s="33">
        <f>VLOOKUP($B17,[1]DATOS!$A$1:$N$113,7,FALSE)</f>
        <v>0</v>
      </c>
      <c r="I17" s="33">
        <f t="shared" si="1"/>
        <v>76595000</v>
      </c>
      <c r="J17" s="33">
        <f>VLOOKUP($B17,[1]DATOS!$A$1:$N$113,9,FALSE)</f>
        <v>3866448</v>
      </c>
      <c r="K17" s="33">
        <f>VLOOKUP($B17,[1]DATOS!$A$1:$N$113,10,FALSE)</f>
        <v>12342275</v>
      </c>
      <c r="L17" s="34">
        <f t="shared" si="2"/>
        <v>0.16113682355245121</v>
      </c>
      <c r="M17" s="33">
        <f>VLOOKUP($B17,[1]DATOS!$A$1:$N$113,12,FALSE)</f>
        <v>3866448</v>
      </c>
      <c r="N17" s="33">
        <f>VLOOKUP($B17,[1]DATOS!$A$1:$N$113,13,FALSE)</f>
        <v>12342275</v>
      </c>
      <c r="O17" s="34">
        <f t="shared" si="3"/>
        <v>0.16113682355245121</v>
      </c>
      <c r="P17" s="25">
        <f t="shared" si="4"/>
        <v>13</v>
      </c>
      <c r="Q17" s="26"/>
      <c r="R17" s="26"/>
    </row>
    <row r="18" spans="2:18" ht="17.25" customHeight="1" x14ac:dyDescent="0.25">
      <c r="B18" s="31" t="s">
        <v>41</v>
      </c>
      <c r="C18" s="32" t="s">
        <v>42</v>
      </c>
      <c r="D18" s="33">
        <f>VLOOKUP($B18,[1]DATOS!$A$1:$N$113,3,FALSE)</f>
        <v>1042714000</v>
      </c>
      <c r="E18" s="33">
        <f>VLOOKUP($B18,[1]DATOS!$A$1:$N$113,4,FALSE)</f>
        <v>0</v>
      </c>
      <c r="F18" s="33">
        <f>VLOOKUP($B18,[1]DATOS!$A$1:$N$113,5,FALSE)</f>
        <v>0</v>
      </c>
      <c r="G18" s="33">
        <f t="shared" si="0"/>
        <v>1042714000</v>
      </c>
      <c r="H18" s="33">
        <f>VLOOKUP($B18,[1]DATOS!$A$1:$N$113,7,FALSE)</f>
        <v>0</v>
      </c>
      <c r="I18" s="33">
        <f t="shared" si="1"/>
        <v>1042714000</v>
      </c>
      <c r="J18" s="33">
        <f>VLOOKUP($B18,[1]DATOS!$A$1:$N$113,9,FALSE)</f>
        <v>79821571</v>
      </c>
      <c r="K18" s="33">
        <f>VLOOKUP($B18,[1]DATOS!$A$1:$N$113,10,FALSE)</f>
        <v>313140671</v>
      </c>
      <c r="L18" s="34">
        <f t="shared" si="2"/>
        <v>0.30031309735939099</v>
      </c>
      <c r="M18" s="33">
        <f>VLOOKUP($B18,[1]DATOS!$A$1:$N$113,12,FALSE)</f>
        <v>80621193</v>
      </c>
      <c r="N18" s="33">
        <f>VLOOKUP($B18,[1]DATOS!$A$1:$N$113,13,FALSE)</f>
        <v>313140671</v>
      </c>
      <c r="O18" s="34">
        <f t="shared" si="3"/>
        <v>0.30031309735939099</v>
      </c>
      <c r="P18" s="25">
        <f t="shared" si="4"/>
        <v>13</v>
      </c>
      <c r="Q18" s="26"/>
      <c r="R18" s="26"/>
    </row>
    <row r="19" spans="2:18" ht="17.25" customHeight="1" x14ac:dyDescent="0.25">
      <c r="B19" s="31" t="s">
        <v>43</v>
      </c>
      <c r="C19" s="32" t="s">
        <v>44</v>
      </c>
      <c r="D19" s="33">
        <f>VLOOKUP($B19,[1]DATOS!$A$1:$N$113,3,FALSE)</f>
        <v>1177000</v>
      </c>
      <c r="E19" s="33">
        <f>VLOOKUP($B19,[1]DATOS!$A$1:$N$113,4,FALSE)</f>
        <v>0</v>
      </c>
      <c r="F19" s="33">
        <f>VLOOKUP($B19,[1]DATOS!$A$1:$N$113,5,FALSE)</f>
        <v>500000</v>
      </c>
      <c r="G19" s="33">
        <f t="shared" si="0"/>
        <v>1677000</v>
      </c>
      <c r="H19" s="33">
        <f>VLOOKUP($B19,[1]DATOS!$A$1:$N$113,7,FALSE)</f>
        <v>0</v>
      </c>
      <c r="I19" s="33">
        <f t="shared" si="1"/>
        <v>1677000</v>
      </c>
      <c r="J19" s="33">
        <f>VLOOKUP($B19,[1]DATOS!$A$1:$N$113,9,FALSE)</f>
        <v>92458</v>
      </c>
      <c r="K19" s="33">
        <f>VLOOKUP($B19,[1]DATOS!$A$1:$N$113,10,FALSE)</f>
        <v>369832</v>
      </c>
      <c r="L19" s="34">
        <f t="shared" si="2"/>
        <v>0.22053190220632082</v>
      </c>
      <c r="M19" s="33">
        <f>VLOOKUP($B19,[1]DATOS!$A$1:$N$113,12,FALSE)</f>
        <v>92458</v>
      </c>
      <c r="N19" s="33">
        <f>VLOOKUP($B19,[1]DATOS!$A$1:$N$113,13,FALSE)</f>
        <v>369832</v>
      </c>
      <c r="O19" s="34">
        <f t="shared" si="3"/>
        <v>0.22053190220632082</v>
      </c>
      <c r="P19" s="25">
        <f t="shared" si="4"/>
        <v>13</v>
      </c>
      <c r="Q19" s="26"/>
      <c r="R19" s="26"/>
    </row>
    <row r="20" spans="2:18" ht="17.25" customHeight="1" x14ac:dyDescent="0.25">
      <c r="B20" s="31" t="s">
        <v>45</v>
      </c>
      <c r="C20" s="32" t="s">
        <v>46</v>
      </c>
      <c r="D20" s="33">
        <f>VLOOKUP($B20,[1]DATOS!$A$1:$N$113,3,FALSE)</f>
        <v>2003000</v>
      </c>
      <c r="E20" s="33">
        <f>VLOOKUP($B20,[1]DATOS!$A$1:$N$113,4,FALSE)</f>
        <v>0</v>
      </c>
      <c r="F20" s="33">
        <f>VLOOKUP($B20,[1]DATOS!$A$1:$N$113,5,FALSE)</f>
        <v>1000000</v>
      </c>
      <c r="G20" s="33">
        <f t="shared" si="0"/>
        <v>3003000</v>
      </c>
      <c r="H20" s="33">
        <f>VLOOKUP($B20,[1]DATOS!$A$1:$N$113,7,FALSE)</f>
        <v>0</v>
      </c>
      <c r="I20" s="33">
        <f t="shared" si="1"/>
        <v>3003000</v>
      </c>
      <c r="J20" s="33">
        <f>VLOOKUP($B20,[1]DATOS!$A$1:$N$113,9,FALSE)</f>
        <v>200000</v>
      </c>
      <c r="K20" s="33">
        <f>VLOOKUP($B20,[1]DATOS!$A$1:$N$113,10,FALSE)</f>
        <v>800000</v>
      </c>
      <c r="L20" s="34">
        <f t="shared" si="2"/>
        <v>0.26640026640026643</v>
      </c>
      <c r="M20" s="33">
        <f>VLOOKUP($B20,[1]DATOS!$A$1:$N$113,12,FALSE)</f>
        <v>200000</v>
      </c>
      <c r="N20" s="33">
        <f>VLOOKUP($B20,[1]DATOS!$A$1:$N$113,13,FALSE)</f>
        <v>800000</v>
      </c>
      <c r="O20" s="34">
        <f t="shared" si="3"/>
        <v>0.26640026640026643</v>
      </c>
      <c r="P20" s="25">
        <f t="shared" si="4"/>
        <v>13</v>
      </c>
      <c r="Q20" s="26"/>
      <c r="R20" s="26"/>
    </row>
    <row r="21" spans="2:18" ht="17.25" customHeight="1" x14ac:dyDescent="0.25">
      <c r="B21" s="31" t="s">
        <v>47</v>
      </c>
      <c r="C21" s="32" t="s">
        <v>48</v>
      </c>
      <c r="D21" s="33">
        <f>VLOOKUP($B21,[1]DATOS!$A$1:$N$113,3,FALSE)</f>
        <v>748685000</v>
      </c>
      <c r="E21" s="33">
        <f>VLOOKUP($B21,[1]DATOS!$A$1:$N$113,4,FALSE)</f>
        <v>0</v>
      </c>
      <c r="F21" s="33">
        <f>VLOOKUP($B21,[1]DATOS!$A$1:$N$113,5,FALSE)</f>
        <v>0</v>
      </c>
      <c r="G21" s="33">
        <f t="shared" si="0"/>
        <v>748685000</v>
      </c>
      <c r="H21" s="33">
        <f>VLOOKUP($B21,[1]DATOS!$A$1:$N$113,7,FALSE)</f>
        <v>0</v>
      </c>
      <c r="I21" s="33">
        <f t="shared" si="1"/>
        <v>748685000</v>
      </c>
      <c r="J21" s="33">
        <f>VLOOKUP($B21,[1]DATOS!$A$1:$N$113,9,FALSE)</f>
        <v>14887611</v>
      </c>
      <c r="K21" s="33">
        <f>VLOOKUP($B21,[1]DATOS!$A$1:$N$113,10,FALSE)</f>
        <v>71702047</v>
      </c>
      <c r="L21" s="34">
        <f t="shared" si="2"/>
        <v>9.5770647201426501E-2</v>
      </c>
      <c r="M21" s="33">
        <f>VLOOKUP($B21,[1]DATOS!$A$1:$N$113,12,FALSE)</f>
        <v>14887611</v>
      </c>
      <c r="N21" s="33">
        <f>VLOOKUP($B21,[1]DATOS!$A$1:$N$113,13,FALSE)</f>
        <v>71702047</v>
      </c>
      <c r="O21" s="34">
        <f t="shared" si="3"/>
        <v>9.5770647201426501E-2</v>
      </c>
      <c r="P21" s="25">
        <f t="shared" si="4"/>
        <v>13</v>
      </c>
      <c r="Q21" s="26"/>
      <c r="R21" s="26"/>
    </row>
    <row r="22" spans="2:18" ht="17.25" customHeight="1" x14ac:dyDescent="0.25">
      <c r="B22" s="31" t="s">
        <v>49</v>
      </c>
      <c r="C22" s="32" t="s">
        <v>50</v>
      </c>
      <c r="D22" s="33">
        <f>VLOOKUP($B22,[1]DATOS!$A$1:$N$113,3,FALSE)</f>
        <v>448072000</v>
      </c>
      <c r="E22" s="33">
        <f>VLOOKUP($B22,[1]DATOS!$A$1:$N$113,4,FALSE)</f>
        <v>0</v>
      </c>
      <c r="F22" s="33">
        <f>VLOOKUP($B22,[1]DATOS!$A$1:$N$113,5,FALSE)</f>
        <v>-137500000</v>
      </c>
      <c r="G22" s="33">
        <f t="shared" si="0"/>
        <v>310572000</v>
      </c>
      <c r="H22" s="33">
        <f>VLOOKUP($B22,[1]DATOS!$A$1:$N$113,7,FALSE)</f>
        <v>0</v>
      </c>
      <c r="I22" s="33">
        <f t="shared" si="1"/>
        <v>310572000</v>
      </c>
      <c r="J22" s="33">
        <f>VLOOKUP($B22,[1]DATOS!$A$1:$N$113,9,FALSE)</f>
        <v>7058165</v>
      </c>
      <c r="K22" s="33">
        <f>VLOOKUP($B22,[1]DATOS!$A$1:$N$113,10,FALSE)</f>
        <v>99224420</v>
      </c>
      <c r="L22" s="34">
        <f t="shared" si="2"/>
        <v>0.3194892649691537</v>
      </c>
      <c r="M22" s="33">
        <f>VLOOKUP($B22,[1]DATOS!$A$1:$N$113,12,FALSE)</f>
        <v>7058165</v>
      </c>
      <c r="N22" s="33">
        <f>VLOOKUP($B22,[1]DATOS!$A$1:$N$113,13,FALSE)</f>
        <v>99224420</v>
      </c>
      <c r="O22" s="34">
        <f t="shared" si="3"/>
        <v>0.3194892649691537</v>
      </c>
      <c r="P22" s="25">
        <f t="shared" si="4"/>
        <v>13</v>
      </c>
      <c r="Q22" s="26"/>
      <c r="R22" s="26"/>
    </row>
    <row r="23" spans="2:18" s="37" customFormat="1" ht="17.25" customHeight="1" x14ac:dyDescent="0.25">
      <c r="B23" s="27" t="s">
        <v>51</v>
      </c>
      <c r="C23" s="28" t="s">
        <v>52</v>
      </c>
      <c r="D23" s="35">
        <f>SUM(D24:D25)</f>
        <v>1549053000</v>
      </c>
      <c r="E23" s="35">
        <f>SUM(E24:E25)</f>
        <v>0</v>
      </c>
      <c r="F23" s="35">
        <f>SUM(F24:F25)</f>
        <v>0</v>
      </c>
      <c r="G23" s="35">
        <f t="shared" si="0"/>
        <v>1549053000</v>
      </c>
      <c r="H23" s="35">
        <f>SUM(H24:H25)</f>
        <v>0</v>
      </c>
      <c r="I23" s="35">
        <f t="shared" si="1"/>
        <v>1549053000</v>
      </c>
      <c r="J23" s="35">
        <f>SUM(J24:J25)</f>
        <v>18194237</v>
      </c>
      <c r="K23" s="35">
        <f>SUM(K24:K25)</f>
        <v>97399635</v>
      </c>
      <c r="L23" s="36">
        <f t="shared" si="2"/>
        <v>6.2876889945018027E-2</v>
      </c>
      <c r="M23" s="35">
        <f>SUM(M24:M25)</f>
        <v>18194237</v>
      </c>
      <c r="N23" s="35">
        <f>SUM(N24:N25)</f>
        <v>97399635</v>
      </c>
      <c r="O23" s="36">
        <f t="shared" si="3"/>
        <v>6.2876889945018027E-2</v>
      </c>
      <c r="P23" s="25">
        <f t="shared" si="4"/>
        <v>13</v>
      </c>
      <c r="Q23" s="26"/>
      <c r="R23" s="26"/>
    </row>
    <row r="24" spans="2:18" ht="17.25" customHeight="1" x14ac:dyDescent="0.25">
      <c r="B24" s="31" t="s">
        <v>53</v>
      </c>
      <c r="C24" s="38" t="s">
        <v>54</v>
      </c>
      <c r="D24" s="33">
        <f>VLOOKUP($B24,[1]DATOS!$A$1:$N$113,3,FALSE)</f>
        <v>1083358000</v>
      </c>
      <c r="E24" s="33">
        <f>VLOOKUP($B24,[1]DATOS!$A$1:$N$113,4,FALSE)</f>
        <v>0</v>
      </c>
      <c r="F24" s="33">
        <f>VLOOKUP($B24,[1]DATOS!$A$1:$N$113,5,FALSE)</f>
        <v>0</v>
      </c>
      <c r="G24" s="33">
        <f t="shared" si="0"/>
        <v>1083358000</v>
      </c>
      <c r="H24" s="33">
        <f>VLOOKUP($B24,[1]DATOS!$A$1:$N$113,7,FALSE)</f>
        <v>0</v>
      </c>
      <c r="I24" s="33">
        <f t="shared" si="1"/>
        <v>1083358000</v>
      </c>
      <c r="J24" s="33">
        <f>VLOOKUP($B24,[1]DATOS!$A$1:$N$113,9,FALSE)</f>
        <v>0</v>
      </c>
      <c r="K24" s="33">
        <f>VLOOKUP($B24,[1]DATOS!$A$1:$N$113,10,FALSE)</f>
        <v>4272728</v>
      </c>
      <c r="L24" s="34">
        <f t="shared" si="2"/>
        <v>3.9439668142940741E-3</v>
      </c>
      <c r="M24" s="33">
        <f>VLOOKUP($B24,[1]DATOS!$A$1:$N$113,12,FALSE)</f>
        <v>0</v>
      </c>
      <c r="N24" s="33">
        <f>VLOOKUP($B24,[1]DATOS!$A$1:$N$113,13,FALSE)</f>
        <v>4272728</v>
      </c>
      <c r="O24" s="34">
        <f t="shared" si="3"/>
        <v>3.9439668142940741E-3</v>
      </c>
      <c r="P24" s="25">
        <f t="shared" si="4"/>
        <v>15</v>
      </c>
      <c r="Q24" s="26"/>
      <c r="R24" s="26"/>
    </row>
    <row r="25" spans="2:18" ht="17.25" customHeight="1" x14ac:dyDescent="0.25">
      <c r="B25" s="31" t="s">
        <v>55</v>
      </c>
      <c r="C25" s="38" t="s">
        <v>56</v>
      </c>
      <c r="D25" s="33">
        <f>VLOOKUP($B25,[1]DATOS!$A$1:$N$113,3,FALSE)</f>
        <v>465695000</v>
      </c>
      <c r="E25" s="33">
        <f>VLOOKUP($B25,[1]DATOS!$A$1:$N$113,4,FALSE)</f>
        <v>0</v>
      </c>
      <c r="F25" s="33">
        <f>VLOOKUP($B25,[1]DATOS!$A$1:$N$113,5,FALSE)</f>
        <v>0</v>
      </c>
      <c r="G25" s="33">
        <f t="shared" si="0"/>
        <v>465695000</v>
      </c>
      <c r="H25" s="33">
        <f>VLOOKUP($B25,[1]DATOS!$A$1:$N$113,7,FALSE)</f>
        <v>0</v>
      </c>
      <c r="I25" s="33">
        <f t="shared" si="1"/>
        <v>465695000</v>
      </c>
      <c r="J25" s="33">
        <f>VLOOKUP($B25,[1]DATOS!$A$1:$N$113,9,FALSE)</f>
        <v>18194237</v>
      </c>
      <c r="K25" s="33">
        <f>VLOOKUP($B25,[1]DATOS!$A$1:$N$113,10,FALSE)</f>
        <v>93126907</v>
      </c>
      <c r="L25" s="34">
        <f t="shared" si="2"/>
        <v>0.19997403236023578</v>
      </c>
      <c r="M25" s="33">
        <f>VLOOKUP($B25,[1]DATOS!$A$1:$N$113,12,FALSE)</f>
        <v>18194237</v>
      </c>
      <c r="N25" s="33">
        <f>VLOOKUP($B25,[1]DATOS!$A$1:$N$113,13,FALSE)</f>
        <v>93126907</v>
      </c>
      <c r="O25" s="34">
        <f t="shared" si="3"/>
        <v>0.19997403236023578</v>
      </c>
      <c r="P25" s="25">
        <f t="shared" si="4"/>
        <v>15</v>
      </c>
      <c r="Q25" s="26"/>
      <c r="R25" s="26"/>
    </row>
    <row r="26" spans="2:18" ht="17.25" customHeight="1" x14ac:dyDescent="0.25">
      <c r="B26" s="31" t="s">
        <v>57</v>
      </c>
      <c r="C26" s="32" t="s">
        <v>58</v>
      </c>
      <c r="D26" s="33">
        <f>VLOOKUP($B26,[1]DATOS!$A$1:$N$113,3,FALSE)</f>
        <v>1287440000</v>
      </c>
      <c r="E26" s="33">
        <f>VLOOKUP($B26,[1]DATOS!$A$1:$N$113,4,FALSE)</f>
        <v>0</v>
      </c>
      <c r="F26" s="33">
        <f>VLOOKUP($B26,[1]DATOS!$A$1:$N$113,5,FALSE)</f>
        <v>550000000</v>
      </c>
      <c r="G26" s="33">
        <f t="shared" si="0"/>
        <v>1837440000</v>
      </c>
      <c r="H26" s="33">
        <f>VLOOKUP($B26,[1]DATOS!$A$1:$N$113,7,FALSE)</f>
        <v>0</v>
      </c>
      <c r="I26" s="33">
        <f t="shared" si="1"/>
        <v>1837440000</v>
      </c>
      <c r="J26" s="33">
        <f>VLOOKUP($B26,[1]DATOS!$A$1:$N$113,9,FALSE)</f>
        <v>99942619</v>
      </c>
      <c r="K26" s="33">
        <f>VLOOKUP($B26,[1]DATOS!$A$1:$N$113,10,FALSE)</f>
        <v>390156040</v>
      </c>
      <c r="L26" s="34">
        <f t="shared" si="2"/>
        <v>0.21233675113200975</v>
      </c>
      <c r="M26" s="33">
        <f>VLOOKUP($B26,[1]DATOS!$A$1:$N$113,12,FALSE)</f>
        <v>101275323</v>
      </c>
      <c r="N26" s="33">
        <f>VLOOKUP($B26,[1]DATOS!$A$1:$N$113,13,FALSE)</f>
        <v>390156040</v>
      </c>
      <c r="O26" s="34">
        <f t="shared" si="3"/>
        <v>0.21233675113200975</v>
      </c>
      <c r="P26" s="25">
        <f t="shared" si="4"/>
        <v>13</v>
      </c>
      <c r="Q26" s="26"/>
      <c r="R26" s="26"/>
    </row>
    <row r="27" spans="2:18" s="37" customFormat="1" ht="17.25" customHeight="1" x14ac:dyDescent="0.25">
      <c r="B27" s="27" t="s">
        <v>59</v>
      </c>
      <c r="C27" s="28" t="s">
        <v>60</v>
      </c>
      <c r="D27" s="35">
        <f>SUM(D28:D34)</f>
        <v>6131286000</v>
      </c>
      <c r="E27" s="35">
        <f>SUM(E28:E34)</f>
        <v>-27732527</v>
      </c>
      <c r="F27" s="35">
        <f>SUM(F28:F34)</f>
        <v>-777732527</v>
      </c>
      <c r="G27" s="35">
        <f t="shared" si="0"/>
        <v>5353553473</v>
      </c>
      <c r="H27" s="35">
        <f>SUM(H28:H34)</f>
        <v>0</v>
      </c>
      <c r="I27" s="35">
        <f t="shared" si="1"/>
        <v>5353553473</v>
      </c>
      <c r="J27" s="35">
        <f>SUM(J28:J34)</f>
        <v>186470673</v>
      </c>
      <c r="K27" s="35">
        <f>SUM(K28:K34)</f>
        <v>1759109896</v>
      </c>
      <c r="L27" s="36">
        <f t="shared" si="2"/>
        <v>0.32858734014180641</v>
      </c>
      <c r="M27" s="35">
        <f>SUM(M28:M34)</f>
        <v>214995900</v>
      </c>
      <c r="N27" s="35">
        <f>SUM(N28:N34)</f>
        <v>1759109896</v>
      </c>
      <c r="O27" s="36">
        <f t="shared" si="3"/>
        <v>0.32858734014180641</v>
      </c>
      <c r="P27" s="25">
        <f t="shared" si="4"/>
        <v>8</v>
      </c>
      <c r="Q27" s="26"/>
      <c r="R27" s="26"/>
    </row>
    <row r="28" spans="2:18" ht="17.25" customHeight="1" x14ac:dyDescent="0.25">
      <c r="B28" s="31" t="s">
        <v>61</v>
      </c>
      <c r="C28" s="32" t="s">
        <v>62</v>
      </c>
      <c r="D28" s="33">
        <f>VLOOKUP($B28,[1]DATOS!$A$1:$N$113,3,FALSE)</f>
        <v>1289658000</v>
      </c>
      <c r="E28" s="33">
        <f>VLOOKUP($B28,[1]DATOS!$A$1:$N$113,4,FALSE)</f>
        <v>0</v>
      </c>
      <c r="F28" s="33">
        <f>VLOOKUP($B28,[1]DATOS!$A$1:$N$113,5,FALSE)</f>
        <v>0</v>
      </c>
      <c r="G28" s="33">
        <f t="shared" si="0"/>
        <v>1289658000</v>
      </c>
      <c r="H28" s="33">
        <f>VLOOKUP($B28,[1]DATOS!$A$1:$N$113,7,FALSE)</f>
        <v>0</v>
      </c>
      <c r="I28" s="33">
        <f t="shared" si="1"/>
        <v>1289658000</v>
      </c>
      <c r="J28" s="33">
        <f>VLOOKUP($B28,[1]DATOS!$A$1:$N$113,9,FALSE)</f>
        <v>95009900</v>
      </c>
      <c r="K28" s="33">
        <f>VLOOKUP($B28,[1]DATOS!$A$1:$N$113,10,FALSE)</f>
        <v>383219700</v>
      </c>
      <c r="L28" s="34">
        <f t="shared" si="2"/>
        <v>0.29714831373899125</v>
      </c>
      <c r="M28" s="33">
        <f>VLOOKUP($B28,[1]DATOS!$A$1:$N$113,12,FALSE)</f>
        <v>95585600</v>
      </c>
      <c r="N28" s="33">
        <f>VLOOKUP($B28,[1]DATOS!$A$1:$N$113,13,FALSE)</f>
        <v>383219700</v>
      </c>
      <c r="O28" s="34">
        <f t="shared" si="3"/>
        <v>0.29714831373899125</v>
      </c>
      <c r="P28" s="25">
        <f t="shared" si="4"/>
        <v>11</v>
      </c>
      <c r="Q28" s="26"/>
      <c r="R28" s="26"/>
    </row>
    <row r="29" spans="2:18" ht="17.25" customHeight="1" x14ac:dyDescent="0.25">
      <c r="B29" s="31" t="s">
        <v>63</v>
      </c>
      <c r="C29" s="32" t="s">
        <v>64</v>
      </c>
      <c r="D29" s="33">
        <f>VLOOKUP($B29,[1]DATOS!$A$1:$N$113,3,FALSE)</f>
        <v>824934000</v>
      </c>
      <c r="E29" s="33">
        <f>VLOOKUP($B29,[1]DATOS!$A$1:$N$113,4,FALSE)</f>
        <v>0</v>
      </c>
      <c r="F29" s="33">
        <f>VLOOKUP($B29,[1]DATOS!$A$1:$N$113,5,FALSE)</f>
        <v>-150000000</v>
      </c>
      <c r="G29" s="33">
        <f t="shared" si="0"/>
        <v>674934000</v>
      </c>
      <c r="H29" s="33">
        <f>VLOOKUP($B29,[1]DATOS!$A$1:$N$113,7,FALSE)</f>
        <v>0</v>
      </c>
      <c r="I29" s="33">
        <f t="shared" si="1"/>
        <v>674934000</v>
      </c>
      <c r="J29" s="33">
        <f>VLOOKUP($B29,[1]DATOS!$A$1:$N$113,9,FALSE)</f>
        <v>44776700</v>
      </c>
      <c r="K29" s="33">
        <f>VLOOKUP($B29,[1]DATOS!$A$1:$N$113,10,FALSE)</f>
        <v>188725400</v>
      </c>
      <c r="L29" s="34">
        <f t="shared" si="2"/>
        <v>0.27962052585882474</v>
      </c>
      <c r="M29" s="33">
        <f>VLOOKUP($B29,[1]DATOS!$A$1:$N$113,12,FALSE)</f>
        <v>44776700</v>
      </c>
      <c r="N29" s="33">
        <f>VLOOKUP($B29,[1]DATOS!$A$1:$N$113,13,FALSE)</f>
        <v>188725400</v>
      </c>
      <c r="O29" s="34">
        <f t="shared" si="3"/>
        <v>0.27962052585882474</v>
      </c>
      <c r="P29" s="25">
        <f t="shared" si="4"/>
        <v>11</v>
      </c>
      <c r="Q29" s="26"/>
      <c r="R29" s="26"/>
    </row>
    <row r="30" spans="2:18" ht="17.25" customHeight="1" x14ac:dyDescent="0.25">
      <c r="B30" s="31" t="s">
        <v>65</v>
      </c>
      <c r="C30" s="32" t="s">
        <v>66</v>
      </c>
      <c r="D30" s="33">
        <f>VLOOKUP($B30,[1]DATOS!$A$1:$N$113,3,FALSE)</f>
        <v>2690384000</v>
      </c>
      <c r="E30" s="33">
        <f>VLOOKUP($B30,[1]DATOS!$A$1:$N$113,4,FALSE)</f>
        <v>-27732527</v>
      </c>
      <c r="F30" s="33">
        <f>VLOOKUP($B30,[1]DATOS!$A$1:$N$113,5,FALSE)</f>
        <v>-627732527</v>
      </c>
      <c r="G30" s="33">
        <f t="shared" si="0"/>
        <v>2062651473</v>
      </c>
      <c r="H30" s="33">
        <f>VLOOKUP($B30,[1]DATOS!$A$1:$N$113,7,FALSE)</f>
        <v>0</v>
      </c>
      <c r="I30" s="33">
        <f t="shared" si="1"/>
        <v>2062651473</v>
      </c>
      <c r="J30" s="33">
        <f>VLOOKUP($B30,[1]DATOS!$A$1:$N$113,9,FALSE)</f>
        <v>-27732527</v>
      </c>
      <c r="K30" s="33">
        <f>VLOOKUP($B30,[1]DATOS!$A$1:$N$113,10,FALSE)</f>
        <v>875678196</v>
      </c>
      <c r="L30" s="34">
        <f t="shared" si="2"/>
        <v>0.42454006770536945</v>
      </c>
      <c r="M30" s="33">
        <f>VLOOKUP($B30,[1]DATOS!$A$1:$N$113,12,FALSE)</f>
        <v>0</v>
      </c>
      <c r="N30" s="33">
        <f>VLOOKUP($B30,[1]DATOS!$A$1:$N$113,13,FALSE)</f>
        <v>875678196</v>
      </c>
      <c r="O30" s="34">
        <f t="shared" si="3"/>
        <v>0.42454006770536945</v>
      </c>
      <c r="P30" s="25">
        <f t="shared" si="4"/>
        <v>11</v>
      </c>
      <c r="Q30" s="26"/>
      <c r="R30" s="26"/>
    </row>
    <row r="31" spans="2:18" ht="17.25" customHeight="1" x14ac:dyDescent="0.25">
      <c r="B31" s="31" t="s">
        <v>67</v>
      </c>
      <c r="C31" s="32" t="s">
        <v>68</v>
      </c>
      <c r="D31" s="33">
        <f>VLOOKUP($B31,[1]DATOS!$A$1:$N$113,3,FALSE)</f>
        <v>480938000</v>
      </c>
      <c r="E31" s="33">
        <f>VLOOKUP($B31,[1]DATOS!$A$1:$N$113,4,FALSE)</f>
        <v>0</v>
      </c>
      <c r="F31" s="33">
        <f>VLOOKUP($B31,[1]DATOS!$A$1:$N$113,5,FALSE)</f>
        <v>0</v>
      </c>
      <c r="G31" s="33">
        <f t="shared" si="0"/>
        <v>480938000</v>
      </c>
      <c r="H31" s="33">
        <f>VLOOKUP($B31,[1]DATOS!$A$1:$N$113,7,FALSE)</f>
        <v>0</v>
      </c>
      <c r="I31" s="33">
        <f t="shared" si="1"/>
        <v>480938000</v>
      </c>
      <c r="J31" s="33">
        <f>VLOOKUP($B31,[1]DATOS!$A$1:$N$113,9,FALSE)</f>
        <v>33134100</v>
      </c>
      <c r="K31" s="33">
        <f>VLOOKUP($B31,[1]DATOS!$A$1:$N$113,10,FALSE)</f>
        <v>134747900</v>
      </c>
      <c r="L31" s="34">
        <f t="shared" si="2"/>
        <v>0.28017727856813146</v>
      </c>
      <c r="M31" s="33">
        <f>VLOOKUP($B31,[1]DATOS!$A$1:$N$113,12,FALSE)</f>
        <v>33326100</v>
      </c>
      <c r="N31" s="33">
        <f>VLOOKUP($B31,[1]DATOS!$A$1:$N$113,13,FALSE)</f>
        <v>134747900</v>
      </c>
      <c r="O31" s="34">
        <f t="shared" si="3"/>
        <v>0.28017727856813146</v>
      </c>
      <c r="P31" s="25">
        <f t="shared" si="4"/>
        <v>11</v>
      </c>
      <c r="Q31" s="26"/>
      <c r="R31" s="26"/>
    </row>
    <row r="32" spans="2:18" ht="17.25" customHeight="1" x14ac:dyDescent="0.25">
      <c r="B32" s="31" t="s">
        <v>69</v>
      </c>
      <c r="C32" s="32" t="s">
        <v>70</v>
      </c>
      <c r="D32" s="33">
        <f>VLOOKUP($B32,[1]DATOS!$A$1:$N$113,3,FALSE)</f>
        <v>301740000</v>
      </c>
      <c r="E32" s="33">
        <f>VLOOKUP($B32,[1]DATOS!$A$1:$N$113,4,FALSE)</f>
        <v>0</v>
      </c>
      <c r="F32" s="33">
        <f>VLOOKUP($B32,[1]DATOS!$A$1:$N$113,5,FALSE)</f>
        <v>0</v>
      </c>
      <c r="G32" s="33">
        <f t="shared" si="0"/>
        <v>301740000</v>
      </c>
      <c r="H32" s="33">
        <f>VLOOKUP($B32,[1]DATOS!$A$1:$N$113,7,FALSE)</f>
        <v>0</v>
      </c>
      <c r="I32" s="33">
        <f t="shared" si="1"/>
        <v>301740000</v>
      </c>
      <c r="J32" s="33">
        <f>VLOOKUP($B32,[1]DATOS!$A$1:$N$113,9,FALSE)</f>
        <v>13893500</v>
      </c>
      <c r="K32" s="33">
        <f>VLOOKUP($B32,[1]DATOS!$A$1:$N$113,10,FALSE)</f>
        <v>58141200</v>
      </c>
      <c r="L32" s="34">
        <f t="shared" si="2"/>
        <v>0.19268641877112747</v>
      </c>
      <c r="M32" s="33">
        <f>VLOOKUP($B32,[1]DATOS!$A$1:$N$113,12,FALSE)</f>
        <v>13918500</v>
      </c>
      <c r="N32" s="33">
        <f>VLOOKUP($B32,[1]DATOS!$A$1:$N$113,13,FALSE)</f>
        <v>58141200</v>
      </c>
      <c r="O32" s="34">
        <f t="shared" si="3"/>
        <v>0.19268641877112747</v>
      </c>
      <c r="P32" s="25">
        <f t="shared" si="4"/>
        <v>11</v>
      </c>
      <c r="Q32" s="26"/>
      <c r="R32" s="26"/>
    </row>
    <row r="33" spans="2:18" ht="17.25" customHeight="1" x14ac:dyDescent="0.25">
      <c r="B33" s="31" t="s">
        <v>71</v>
      </c>
      <c r="C33" s="38" t="s">
        <v>72</v>
      </c>
      <c r="D33" s="33">
        <f>VLOOKUP($B33,[1]DATOS!$A$1:$N$113,3,FALSE)</f>
        <v>326179000</v>
      </c>
      <c r="E33" s="39">
        <f>VLOOKUP($B33,[1]DATOS!$A$1:$N$113,4,FALSE)</f>
        <v>0</v>
      </c>
      <c r="F33" s="39">
        <f>VLOOKUP($B33,[1]DATOS!$A$1:$N$113,5,FALSE)</f>
        <v>0</v>
      </c>
      <c r="G33" s="39">
        <f t="shared" si="0"/>
        <v>326179000</v>
      </c>
      <c r="H33" s="33">
        <f>VLOOKUP($B33,[1]DATOS!$A$1:$N$113,7,FALSE)</f>
        <v>0</v>
      </c>
      <c r="I33" s="39">
        <f t="shared" si="1"/>
        <v>326179000</v>
      </c>
      <c r="J33" s="33">
        <f>VLOOKUP($B33,[1]DATOS!$A$1:$N$113,9,FALSE)</f>
        <v>16432800</v>
      </c>
      <c r="K33" s="33">
        <f>VLOOKUP($B33,[1]DATOS!$A$1:$N$113,10,FALSE)</f>
        <v>71156200</v>
      </c>
      <c r="L33" s="40">
        <f t="shared" si="2"/>
        <v>0.21815076997599478</v>
      </c>
      <c r="M33" s="33">
        <f>VLOOKUP($B33,[1]DATOS!$A$1:$N$113,12,FALSE)</f>
        <v>16432800</v>
      </c>
      <c r="N33" s="33">
        <f>VLOOKUP($B33,[1]DATOS!$A$1:$N$113,13,FALSE)</f>
        <v>71156200</v>
      </c>
      <c r="O33" s="40">
        <f t="shared" si="3"/>
        <v>0.21815076997599478</v>
      </c>
      <c r="P33" s="25">
        <f t="shared" si="4"/>
        <v>11</v>
      </c>
      <c r="Q33" s="26"/>
      <c r="R33" s="26"/>
    </row>
    <row r="34" spans="2:18" ht="17.25" customHeight="1" x14ac:dyDescent="0.25">
      <c r="B34" s="31" t="s">
        <v>73</v>
      </c>
      <c r="C34" s="38" t="s">
        <v>74</v>
      </c>
      <c r="D34" s="33">
        <f>VLOOKUP($B34,[1]DATOS!$A$1:$N$113,3,FALSE)</f>
        <v>217453000</v>
      </c>
      <c r="E34" s="39">
        <f>VLOOKUP($B34,[1]DATOS!$A$1:$N$113,4,FALSE)</f>
        <v>0</v>
      </c>
      <c r="F34" s="39">
        <f>VLOOKUP($B34,[1]DATOS!$A$1:$N$113,5,FALSE)</f>
        <v>0</v>
      </c>
      <c r="G34" s="39">
        <f t="shared" si="0"/>
        <v>217453000</v>
      </c>
      <c r="H34" s="33">
        <f>VLOOKUP($B34,[1]DATOS!$A$1:$N$113,7,FALSE)</f>
        <v>0</v>
      </c>
      <c r="I34" s="39">
        <f t="shared" si="1"/>
        <v>217453000</v>
      </c>
      <c r="J34" s="33">
        <f>VLOOKUP($B34,[1]DATOS!$A$1:$N$113,9,FALSE)</f>
        <v>10956200</v>
      </c>
      <c r="K34" s="33">
        <f>VLOOKUP($B34,[1]DATOS!$A$1:$N$113,10,FALSE)</f>
        <v>47441300</v>
      </c>
      <c r="L34" s="40">
        <f t="shared" si="2"/>
        <v>0.21816806390346419</v>
      </c>
      <c r="M34" s="33">
        <f>VLOOKUP($B34,[1]DATOS!$A$1:$N$113,12,FALSE)</f>
        <v>10956200</v>
      </c>
      <c r="N34" s="33">
        <f>VLOOKUP($B34,[1]DATOS!$A$1:$N$113,13,FALSE)</f>
        <v>47441300</v>
      </c>
      <c r="O34" s="40">
        <f t="shared" si="3"/>
        <v>0.21816806390346419</v>
      </c>
      <c r="P34" s="25">
        <f t="shared" si="4"/>
        <v>11</v>
      </c>
      <c r="Q34" s="26"/>
      <c r="R34" s="26"/>
    </row>
    <row r="35" spans="2:18" s="37" customFormat="1" ht="17.25" customHeight="1" x14ac:dyDescent="0.25">
      <c r="B35" s="27" t="s">
        <v>75</v>
      </c>
      <c r="C35" s="41" t="s">
        <v>76</v>
      </c>
      <c r="D35" s="42">
        <f>SUM(D36,D39)</f>
        <v>292481000</v>
      </c>
      <c r="E35" s="42">
        <f>SUM(E36,E39)</f>
        <v>0</v>
      </c>
      <c r="F35" s="42">
        <f>SUM(F36,F39)</f>
        <v>0</v>
      </c>
      <c r="G35" s="42">
        <f t="shared" si="0"/>
        <v>292481000</v>
      </c>
      <c r="H35" s="42">
        <f>SUM(H36,H39)</f>
        <v>0</v>
      </c>
      <c r="I35" s="42">
        <f t="shared" si="1"/>
        <v>292481000</v>
      </c>
      <c r="J35" s="42">
        <f>SUM(J36,J39)</f>
        <v>1356334</v>
      </c>
      <c r="K35" s="42">
        <f>SUM(K36,K39)</f>
        <v>39443442</v>
      </c>
      <c r="L35" s="43">
        <f t="shared" si="2"/>
        <v>0.13485813437454056</v>
      </c>
      <c r="M35" s="42">
        <f>SUM(M36,M39)</f>
        <v>1356334</v>
      </c>
      <c r="N35" s="42">
        <f>SUM(N36,N39)</f>
        <v>39443442</v>
      </c>
      <c r="O35" s="43">
        <f t="shared" si="3"/>
        <v>0.13485813437454056</v>
      </c>
      <c r="P35" s="25">
        <f t="shared" si="4"/>
        <v>8</v>
      </c>
      <c r="Q35" s="26"/>
      <c r="R35" s="26"/>
    </row>
    <row r="36" spans="2:18" s="37" customFormat="1" ht="17.25" customHeight="1" x14ac:dyDescent="0.25">
      <c r="B36" s="27" t="s">
        <v>77</v>
      </c>
      <c r="C36" s="28" t="s">
        <v>52</v>
      </c>
      <c r="D36" s="42">
        <f>SUM(D37:D38,D40)</f>
        <v>242481000</v>
      </c>
      <c r="E36" s="42">
        <f>SUM(E37:E38,E40)</f>
        <v>0</v>
      </c>
      <c r="F36" s="42">
        <f>SUM(F37:F38,F40)</f>
        <v>0</v>
      </c>
      <c r="G36" s="42">
        <f t="shared" si="0"/>
        <v>242481000</v>
      </c>
      <c r="H36" s="42">
        <f>SUM(H37:H38,H40)</f>
        <v>0</v>
      </c>
      <c r="I36" s="42">
        <f t="shared" si="1"/>
        <v>242481000</v>
      </c>
      <c r="J36" s="42">
        <f>SUM(J37:J38,J40)</f>
        <v>1356334</v>
      </c>
      <c r="K36" s="42">
        <f>SUM(K37:K38,K40)</f>
        <v>37730854</v>
      </c>
      <c r="L36" s="43">
        <f t="shared" si="2"/>
        <v>0.15560334211752674</v>
      </c>
      <c r="M36" s="42">
        <f>SUM(M37:M38,M40)</f>
        <v>1356334</v>
      </c>
      <c r="N36" s="42">
        <f>SUM(N37:N38,N40)</f>
        <v>37730854</v>
      </c>
      <c r="O36" s="43">
        <f t="shared" si="3"/>
        <v>0.15560334211752674</v>
      </c>
      <c r="P36" s="25">
        <f t="shared" si="4"/>
        <v>11</v>
      </c>
      <c r="Q36" s="26"/>
      <c r="R36" s="26"/>
    </row>
    <row r="37" spans="2:18" ht="17.25" customHeight="1" x14ac:dyDescent="0.25">
      <c r="B37" s="31" t="s">
        <v>78</v>
      </c>
      <c r="C37" s="38" t="s">
        <v>79</v>
      </c>
      <c r="D37" s="33">
        <f>VLOOKUP($B37,[1]DATOS!$A$1:$N$113,3,FALSE)</f>
        <v>100000000</v>
      </c>
      <c r="E37" s="33">
        <f>VLOOKUP($B37,[1]DATOS!$A$1:$N$113,4,FALSE)</f>
        <v>0</v>
      </c>
      <c r="F37" s="33">
        <f>VLOOKUP($B37,[1]DATOS!$A$1:$N$113,5,FALSE)</f>
        <v>0</v>
      </c>
      <c r="G37" s="33">
        <f t="shared" si="0"/>
        <v>100000000</v>
      </c>
      <c r="H37" s="33">
        <f>VLOOKUP($B37,[1]DATOS!$A$1:$N$113,7,FALSE)</f>
        <v>0</v>
      </c>
      <c r="I37" s="33">
        <f t="shared" si="1"/>
        <v>100000000</v>
      </c>
      <c r="J37" s="33">
        <f>VLOOKUP($B37,[1]DATOS!$A$1:$N$113,9,FALSE)</f>
        <v>0</v>
      </c>
      <c r="K37" s="33">
        <f>VLOOKUP($B37,[1]DATOS!$A$1:$N$113,10,FALSE)</f>
        <v>27415779</v>
      </c>
      <c r="L37" s="34">
        <f t="shared" si="2"/>
        <v>0.27415779000000001</v>
      </c>
      <c r="M37" s="33">
        <f>VLOOKUP($B37,[1]DATOS!$A$1:$N$113,12,FALSE)</f>
        <v>0</v>
      </c>
      <c r="N37" s="33">
        <f>VLOOKUP($B37,[1]DATOS!$A$1:$N$113,13,FALSE)</f>
        <v>27415779</v>
      </c>
      <c r="O37" s="34">
        <f t="shared" si="3"/>
        <v>0.27415779000000001</v>
      </c>
      <c r="P37" s="25">
        <f t="shared" si="4"/>
        <v>13</v>
      </c>
      <c r="Q37" s="26"/>
      <c r="R37" s="26"/>
    </row>
    <row r="38" spans="2:18" ht="17.25" customHeight="1" x14ac:dyDescent="0.25">
      <c r="B38" s="31" t="s">
        <v>80</v>
      </c>
      <c r="C38" s="32" t="s">
        <v>81</v>
      </c>
      <c r="D38" s="33">
        <f>VLOOKUP($B38,[1]DATOS!$A$1:$N$113,3,FALSE)</f>
        <v>42481000</v>
      </c>
      <c r="E38" s="33">
        <f>VLOOKUP($B38,[1]DATOS!$A$1:$N$113,4,FALSE)</f>
        <v>0</v>
      </c>
      <c r="F38" s="33">
        <f>VLOOKUP($B38,[1]DATOS!$A$1:$N$113,5,FALSE)</f>
        <v>0</v>
      </c>
      <c r="G38" s="33">
        <f t="shared" si="0"/>
        <v>42481000</v>
      </c>
      <c r="H38" s="33">
        <f>VLOOKUP($B38,[1]DATOS!$A$1:$N$113,7,FALSE)</f>
        <v>0</v>
      </c>
      <c r="I38" s="33">
        <f t="shared" si="1"/>
        <v>42481000</v>
      </c>
      <c r="J38" s="33">
        <f>VLOOKUP($B38,[1]DATOS!$A$1:$N$113,9,FALSE)</f>
        <v>1356334</v>
      </c>
      <c r="K38" s="33">
        <f>VLOOKUP($B38,[1]DATOS!$A$1:$N$113,10,FALSE)</f>
        <v>8891575</v>
      </c>
      <c r="L38" s="34">
        <f t="shared" si="2"/>
        <v>0.20930710199854052</v>
      </c>
      <c r="M38" s="33">
        <f>VLOOKUP($B38,[1]DATOS!$A$1:$N$113,12,FALSE)</f>
        <v>1356334</v>
      </c>
      <c r="N38" s="33">
        <f>VLOOKUP($B38,[1]DATOS!$A$1:$N$113,13,FALSE)</f>
        <v>8891575</v>
      </c>
      <c r="O38" s="34">
        <f t="shared" si="3"/>
        <v>0.20930710199854052</v>
      </c>
      <c r="P38" s="25">
        <f t="shared" si="4"/>
        <v>13</v>
      </c>
      <c r="Q38" s="26"/>
      <c r="R38" s="26"/>
    </row>
    <row r="39" spans="2:18" ht="17.25" customHeight="1" x14ac:dyDescent="0.25">
      <c r="B39" s="31" t="s">
        <v>82</v>
      </c>
      <c r="C39" s="38" t="s">
        <v>83</v>
      </c>
      <c r="D39" s="33">
        <f>VLOOKUP($B39,[1]DATOS!$A$1:$N$113,3,FALSE)</f>
        <v>50000000</v>
      </c>
      <c r="E39" s="39">
        <f>VLOOKUP($B39,[1]DATOS!$A$1:$N$113,4,FALSE)</f>
        <v>0</v>
      </c>
      <c r="F39" s="39">
        <f>VLOOKUP($B39,[1]DATOS!$A$1:$N$113,5,FALSE)</f>
        <v>0</v>
      </c>
      <c r="G39" s="39">
        <f t="shared" si="0"/>
        <v>50000000</v>
      </c>
      <c r="H39" s="33">
        <f>VLOOKUP($B39,[1]DATOS!$A$1:$N$113,7,FALSE)</f>
        <v>0</v>
      </c>
      <c r="I39" s="39">
        <f t="shared" si="1"/>
        <v>50000000</v>
      </c>
      <c r="J39" s="33">
        <f>VLOOKUP($B39,[1]DATOS!$A$1:$N$113,9,FALSE)</f>
        <v>0</v>
      </c>
      <c r="K39" s="33">
        <f>VLOOKUP($B39,[1]DATOS!$A$1:$N$113,10,FALSE)</f>
        <v>1712588</v>
      </c>
      <c r="L39" s="40">
        <f t="shared" si="2"/>
        <v>3.4251759999999999E-2</v>
      </c>
      <c r="M39" s="33">
        <f>VLOOKUP($B39,[1]DATOS!$A$1:$N$113,12,FALSE)</f>
        <v>0</v>
      </c>
      <c r="N39" s="33">
        <f>VLOOKUP($B39,[1]DATOS!$A$1:$N$113,13,FALSE)</f>
        <v>1712588</v>
      </c>
      <c r="O39" s="40">
        <f t="shared" si="3"/>
        <v>3.4251759999999999E-2</v>
      </c>
      <c r="P39" s="25">
        <f t="shared" si="4"/>
        <v>11</v>
      </c>
      <c r="Q39" s="26"/>
      <c r="R39" s="26"/>
    </row>
    <row r="40" spans="2:18" ht="17.25" customHeight="1" x14ac:dyDescent="0.25">
      <c r="B40" s="31" t="s">
        <v>84</v>
      </c>
      <c r="C40" s="38" t="s">
        <v>85</v>
      </c>
      <c r="D40" s="33">
        <f>VLOOKUP($B40,[1]DATOS!$A$1:$N$113,3,FALSE)</f>
        <v>100000000</v>
      </c>
      <c r="E40" s="39">
        <f>VLOOKUP($B40,[1]DATOS!$A$1:$N$113,4,FALSE)</f>
        <v>0</v>
      </c>
      <c r="F40" s="39">
        <f>VLOOKUP($B40,[1]DATOS!$A$1:$N$113,5,FALSE)</f>
        <v>0</v>
      </c>
      <c r="G40" s="39">
        <f t="shared" si="0"/>
        <v>100000000</v>
      </c>
      <c r="H40" s="33">
        <f>VLOOKUP($B40,[1]DATOS!$A$1:$N$113,7,FALSE)</f>
        <v>0</v>
      </c>
      <c r="I40" s="39">
        <f t="shared" si="1"/>
        <v>100000000</v>
      </c>
      <c r="J40" s="33">
        <f>VLOOKUP($B40,[1]DATOS!$A$1:$N$113,9,FALSE)</f>
        <v>0</v>
      </c>
      <c r="K40" s="33">
        <f>VLOOKUP($B40,[1]DATOS!$A$1:$N$113,10,FALSE)</f>
        <v>1423500</v>
      </c>
      <c r="L40" s="40">
        <f t="shared" si="2"/>
        <v>1.4234999999999999E-2</v>
      </c>
      <c r="M40" s="33">
        <f>VLOOKUP($B40,[1]DATOS!$A$1:$N$113,12,FALSE)</f>
        <v>0</v>
      </c>
      <c r="N40" s="33">
        <f>VLOOKUP($B40,[1]DATOS!$A$1:$N$113,13,FALSE)</f>
        <v>1423500</v>
      </c>
      <c r="O40" s="40">
        <f t="shared" si="3"/>
        <v>1.4234999999999999E-2</v>
      </c>
      <c r="P40" s="25">
        <f t="shared" si="4"/>
        <v>11</v>
      </c>
      <c r="Q40" s="26"/>
      <c r="R40" s="26"/>
    </row>
    <row r="41" spans="2:18" s="37" customFormat="1" ht="17.25" customHeight="1" x14ac:dyDescent="0.25">
      <c r="B41" s="21" t="s">
        <v>86</v>
      </c>
      <c r="C41" s="22" t="s">
        <v>87</v>
      </c>
      <c r="D41" s="44">
        <f>+D42</f>
        <v>25601600000</v>
      </c>
      <c r="E41" s="44">
        <f>+E42</f>
        <v>-3804066507</v>
      </c>
      <c r="F41" s="44">
        <f>+F42</f>
        <v>-3204066507</v>
      </c>
      <c r="G41" s="44">
        <f t="shared" si="0"/>
        <v>22397533493</v>
      </c>
      <c r="H41" s="44">
        <f>+H42</f>
        <v>0</v>
      </c>
      <c r="I41" s="44">
        <f t="shared" si="1"/>
        <v>22397533493</v>
      </c>
      <c r="J41" s="44">
        <f>+J42</f>
        <v>269569376</v>
      </c>
      <c r="K41" s="44">
        <f>+K42</f>
        <v>14147097033</v>
      </c>
      <c r="L41" s="45">
        <f t="shared" si="2"/>
        <v>0.63163638252495324</v>
      </c>
      <c r="M41" s="44">
        <f>+M42</f>
        <v>2773816152</v>
      </c>
      <c r="N41" s="44">
        <f>+N42</f>
        <v>5041210443</v>
      </c>
      <c r="O41" s="45">
        <f t="shared" si="3"/>
        <v>0.22507882149503433</v>
      </c>
      <c r="P41" s="25">
        <f t="shared" si="4"/>
        <v>4</v>
      </c>
      <c r="Q41" s="26"/>
      <c r="R41" s="26"/>
    </row>
    <row r="42" spans="2:18" s="37" customFormat="1" ht="17.25" customHeight="1" x14ac:dyDescent="0.25">
      <c r="B42" s="27" t="s">
        <v>88</v>
      </c>
      <c r="C42" s="46" t="s">
        <v>89</v>
      </c>
      <c r="D42" s="42">
        <f>+D43+D47</f>
        <v>25601600000</v>
      </c>
      <c r="E42" s="42">
        <f>+E43+E47</f>
        <v>-3804066507</v>
      </c>
      <c r="F42" s="42">
        <f>+F43+F47</f>
        <v>-3204066507</v>
      </c>
      <c r="G42" s="42">
        <f t="shared" si="0"/>
        <v>22397533493</v>
      </c>
      <c r="H42" s="42">
        <f>+H43+H47</f>
        <v>0</v>
      </c>
      <c r="I42" s="42">
        <f t="shared" si="1"/>
        <v>22397533493</v>
      </c>
      <c r="J42" s="42">
        <f>+J43+J47</f>
        <v>269569376</v>
      </c>
      <c r="K42" s="42">
        <f>+K43+K47</f>
        <v>14147097033</v>
      </c>
      <c r="L42" s="43">
        <f t="shared" si="2"/>
        <v>0.63163638252495324</v>
      </c>
      <c r="M42" s="42">
        <f>+M43+M47</f>
        <v>2773816152</v>
      </c>
      <c r="N42" s="42">
        <f>+N43+N47</f>
        <v>5041210443</v>
      </c>
      <c r="O42" s="43">
        <f t="shared" si="3"/>
        <v>0.22507882149503433</v>
      </c>
      <c r="P42" s="25">
        <f t="shared" si="4"/>
        <v>6</v>
      </c>
      <c r="Q42" s="26"/>
      <c r="R42" s="26"/>
    </row>
    <row r="43" spans="2:18" s="37" customFormat="1" ht="17.25" customHeight="1" x14ac:dyDescent="0.25">
      <c r="B43" s="27" t="s">
        <v>90</v>
      </c>
      <c r="C43" s="46" t="s">
        <v>91</v>
      </c>
      <c r="D43" s="42">
        <f>SUM(D44:D46)</f>
        <v>2011206000</v>
      </c>
      <c r="E43" s="42">
        <f>SUM(E44:E46)</f>
        <v>-18038924</v>
      </c>
      <c r="F43" s="42">
        <f>SUM(F44:F46)</f>
        <v>56900391</v>
      </c>
      <c r="G43" s="42">
        <f t="shared" si="0"/>
        <v>2068106391</v>
      </c>
      <c r="H43" s="42">
        <f>SUM(H44:H46)</f>
        <v>0</v>
      </c>
      <c r="I43" s="42">
        <f t="shared" si="1"/>
        <v>2068106391</v>
      </c>
      <c r="J43" s="42">
        <f>SUM(J44:J46)</f>
        <v>2374500</v>
      </c>
      <c r="K43" s="42">
        <f>SUM(K44:K46)</f>
        <v>348918652</v>
      </c>
      <c r="L43" s="43">
        <f t="shared" si="2"/>
        <v>0.16871407269878699</v>
      </c>
      <c r="M43" s="42">
        <f>SUM(M44:M46)</f>
        <v>5944677</v>
      </c>
      <c r="N43" s="42">
        <f>SUM(N44:N46)</f>
        <v>33522606</v>
      </c>
      <c r="O43" s="43">
        <f t="shared" si="3"/>
        <v>1.6209323730096245E-2</v>
      </c>
      <c r="P43" s="25">
        <f t="shared" si="4"/>
        <v>8</v>
      </c>
      <c r="Q43" s="26"/>
      <c r="R43" s="26"/>
    </row>
    <row r="44" spans="2:18" ht="17.25" customHeight="1" x14ac:dyDescent="0.25">
      <c r="B44" s="31" t="s">
        <v>92</v>
      </c>
      <c r="C44" s="38" t="s">
        <v>93</v>
      </c>
      <c r="D44" s="33">
        <f>VLOOKUP($B44,[1]DATOS!$A$1:$N$113,3,FALSE)</f>
        <v>32317000</v>
      </c>
      <c r="E44" s="39">
        <f>VLOOKUP($B44,[1]DATOS!$A$1:$N$113,4,FALSE)</f>
        <v>-4019663</v>
      </c>
      <c r="F44" s="39">
        <f>VLOOKUP($B44,[1]DATOS!$A$1:$N$113,5,FALSE)</f>
        <v>-4019663</v>
      </c>
      <c r="G44" s="39">
        <f t="shared" si="0"/>
        <v>28297337</v>
      </c>
      <c r="H44" s="33">
        <f>VLOOKUP($B44,[1]DATOS!$A$1:$N$113,7,FALSE)</f>
        <v>0</v>
      </c>
      <c r="I44" s="39">
        <f t="shared" si="1"/>
        <v>28297337</v>
      </c>
      <c r="J44" s="33">
        <f>VLOOKUP($B44,[1]DATOS!$A$1:$N$113,9,FALSE)</f>
        <v>2310000</v>
      </c>
      <c r="K44" s="33">
        <f>VLOOKUP($B44,[1]DATOS!$A$1:$N$113,10,FALSE)</f>
        <v>28290337</v>
      </c>
      <c r="L44" s="40">
        <f t="shared" si="2"/>
        <v>0.99975262689913191</v>
      </c>
      <c r="M44" s="33">
        <f>VLOOKUP($B44,[1]DATOS!$A$1:$N$113,12,FALSE)</f>
        <v>5420450</v>
      </c>
      <c r="N44" s="33">
        <f>VLOOKUP($B44,[1]DATOS!$A$1:$N$113,13,FALSE)</f>
        <v>6678875</v>
      </c>
      <c r="O44" s="40">
        <f t="shared" si="3"/>
        <v>0.23602485986578878</v>
      </c>
      <c r="P44" s="25">
        <f t="shared" si="4"/>
        <v>11</v>
      </c>
      <c r="Q44" s="26"/>
      <c r="R44" s="26"/>
    </row>
    <row r="45" spans="2:18" ht="17.25" customHeight="1" x14ac:dyDescent="0.25">
      <c r="B45" s="31" t="s">
        <v>94</v>
      </c>
      <c r="C45" s="32" t="s">
        <v>95</v>
      </c>
      <c r="D45" s="33">
        <f>VLOOKUP($B45,[1]DATOS!$A$1:$N$113,3,FALSE)</f>
        <v>480224000</v>
      </c>
      <c r="E45" s="33">
        <f>VLOOKUP($B45,[1]DATOS!$A$1:$N$113,4,FALSE)</f>
        <v>-13760997</v>
      </c>
      <c r="F45" s="33">
        <f>VLOOKUP($B45,[1]DATOS!$A$1:$N$113,5,FALSE)</f>
        <v>36730969</v>
      </c>
      <c r="G45" s="33">
        <f t="shared" si="0"/>
        <v>516954969</v>
      </c>
      <c r="H45" s="33">
        <f>VLOOKUP($B45,[1]DATOS!$A$1:$N$113,7,FALSE)</f>
        <v>0</v>
      </c>
      <c r="I45" s="33">
        <f t="shared" si="1"/>
        <v>516954969</v>
      </c>
      <c r="J45" s="33">
        <f>VLOOKUP($B45,[1]DATOS!$A$1:$N$113,9,FALSE)</f>
        <v>64500</v>
      </c>
      <c r="K45" s="33">
        <f>VLOOKUP($B45,[1]DATOS!$A$1:$N$113,10,FALSE)</f>
        <v>26827730</v>
      </c>
      <c r="L45" s="34">
        <f t="shared" si="2"/>
        <v>5.1895680685487326E-2</v>
      </c>
      <c r="M45" s="33">
        <f>VLOOKUP($B45,[1]DATOS!$A$1:$N$113,12,FALSE)</f>
        <v>524227</v>
      </c>
      <c r="N45" s="33">
        <f>VLOOKUP($B45,[1]DATOS!$A$1:$N$113,13,FALSE)</f>
        <v>13101995</v>
      </c>
      <c r="O45" s="34">
        <f t="shared" si="3"/>
        <v>2.5344557622387416E-2</v>
      </c>
      <c r="P45" s="25">
        <f t="shared" si="4"/>
        <v>11</v>
      </c>
      <c r="Q45" s="26"/>
      <c r="R45" s="26"/>
    </row>
    <row r="46" spans="2:18" ht="17.25" customHeight="1" x14ac:dyDescent="0.25">
      <c r="B46" s="31" t="s">
        <v>96</v>
      </c>
      <c r="C46" s="32" t="s">
        <v>97</v>
      </c>
      <c r="D46" s="33">
        <f>VLOOKUP($B46,[1]DATOS!$A$1:$N$113,3,FALSE)</f>
        <v>1498665000</v>
      </c>
      <c r="E46" s="33">
        <f>VLOOKUP($B46,[1]DATOS!$A$1:$N$113,4,FALSE)</f>
        <v>-258264</v>
      </c>
      <c r="F46" s="33">
        <f>VLOOKUP($B46,[1]DATOS!$A$1:$N$113,5,FALSE)</f>
        <v>24189085</v>
      </c>
      <c r="G46" s="33">
        <f t="shared" si="0"/>
        <v>1522854085</v>
      </c>
      <c r="H46" s="33">
        <f>VLOOKUP($B46,[1]DATOS!$A$1:$N$113,7,FALSE)</f>
        <v>0</v>
      </c>
      <c r="I46" s="33">
        <f t="shared" si="1"/>
        <v>1522854085</v>
      </c>
      <c r="J46" s="33">
        <f>VLOOKUP($B46,[1]DATOS!$A$1:$N$113,9,FALSE)</f>
        <v>0</v>
      </c>
      <c r="K46" s="33">
        <f>VLOOKUP($B46,[1]DATOS!$A$1:$N$113,10,FALSE)</f>
        <v>293800585</v>
      </c>
      <c r="L46" s="34">
        <f t="shared" si="2"/>
        <v>0.19292760080818905</v>
      </c>
      <c r="M46" s="33">
        <f>VLOOKUP($B46,[1]DATOS!$A$1:$N$113,12,FALSE)</f>
        <v>0</v>
      </c>
      <c r="N46" s="33">
        <f>VLOOKUP($B46,[1]DATOS!$A$1:$N$113,13,FALSE)</f>
        <v>13741736</v>
      </c>
      <c r="O46" s="34">
        <f t="shared" si="3"/>
        <v>9.0236721530677702E-3</v>
      </c>
      <c r="P46" s="25">
        <f t="shared" si="4"/>
        <v>11</v>
      </c>
      <c r="Q46" s="26"/>
      <c r="R46" s="26"/>
    </row>
    <row r="47" spans="2:18" s="37" customFormat="1" ht="17.25" customHeight="1" x14ac:dyDescent="0.25">
      <c r="B47" s="27" t="s">
        <v>98</v>
      </c>
      <c r="C47" s="28" t="s">
        <v>99</v>
      </c>
      <c r="D47" s="35">
        <f>SUM(D48:D52)</f>
        <v>23590394000</v>
      </c>
      <c r="E47" s="35">
        <f>SUM(E48:E52)</f>
        <v>-3786027583</v>
      </c>
      <c r="F47" s="35">
        <f>SUM(F48:F52)</f>
        <v>-3260966898</v>
      </c>
      <c r="G47" s="35">
        <f t="shared" si="0"/>
        <v>20329427102</v>
      </c>
      <c r="H47" s="35">
        <f>SUM(H48:H52)</f>
        <v>0</v>
      </c>
      <c r="I47" s="35">
        <f t="shared" si="1"/>
        <v>20329427102</v>
      </c>
      <c r="J47" s="35">
        <f>SUM(J48:J52)</f>
        <v>267194876</v>
      </c>
      <c r="K47" s="35">
        <f>SUM(K48:K52)</f>
        <v>13798178381</v>
      </c>
      <c r="L47" s="36">
        <f t="shared" si="2"/>
        <v>0.67872932728352886</v>
      </c>
      <c r="M47" s="35">
        <f>SUM(M48:M52)</f>
        <v>2767871475</v>
      </c>
      <c r="N47" s="35">
        <f>SUM(N48:N52)</f>
        <v>5007687837</v>
      </c>
      <c r="O47" s="36">
        <f t="shared" si="3"/>
        <v>0.24632705151378054</v>
      </c>
      <c r="P47" s="25">
        <f t="shared" si="4"/>
        <v>8</v>
      </c>
      <c r="Q47" s="26"/>
      <c r="R47" s="26"/>
    </row>
    <row r="48" spans="2:18" ht="17.25" customHeight="1" x14ac:dyDescent="0.25">
      <c r="B48" s="31" t="s">
        <v>100</v>
      </c>
      <c r="C48" s="38" t="s">
        <v>101</v>
      </c>
      <c r="D48" s="33">
        <f>VLOOKUP($B48,[1]DATOS!$A$1:$N$113,3,FALSE)</f>
        <v>394780000</v>
      </c>
      <c r="E48" s="39">
        <f>VLOOKUP($B48,[1]DATOS!$A$1:$N$113,4,FALSE)</f>
        <v>-25747480</v>
      </c>
      <c r="F48" s="39">
        <f>VLOOKUP($B48,[1]DATOS!$A$1:$N$113,5,FALSE)</f>
        <v>-275995119</v>
      </c>
      <c r="G48" s="39">
        <f t="shared" si="0"/>
        <v>118784881</v>
      </c>
      <c r="H48" s="33">
        <f>VLOOKUP($B48,[1]DATOS!$A$1:$N$113,7,FALSE)</f>
        <v>0</v>
      </c>
      <c r="I48" s="39">
        <f t="shared" si="1"/>
        <v>118784881</v>
      </c>
      <c r="J48" s="33">
        <f>VLOOKUP($B48,[1]DATOS!$A$1:$N$113,9,FALSE)</f>
        <v>-1594554</v>
      </c>
      <c r="K48" s="33">
        <f>VLOOKUP($B48,[1]DATOS!$A$1:$N$113,10,FALSE)</f>
        <v>39483550</v>
      </c>
      <c r="L48" s="40">
        <f t="shared" si="2"/>
        <v>0.33239541655137073</v>
      </c>
      <c r="M48" s="33">
        <f>VLOOKUP($B48,[1]DATOS!$A$1:$N$113,12,FALSE)</f>
        <v>216514</v>
      </c>
      <c r="N48" s="33">
        <f>VLOOKUP($B48,[1]DATOS!$A$1:$N$113,13,FALSE)</f>
        <v>39483550</v>
      </c>
      <c r="O48" s="40">
        <f t="shared" si="3"/>
        <v>0.33239541655137073</v>
      </c>
      <c r="P48" s="25">
        <f t="shared" si="4"/>
        <v>11</v>
      </c>
      <c r="Q48" s="26"/>
      <c r="R48" s="26"/>
    </row>
    <row r="49" spans="1:18" ht="17.25" customHeight="1" x14ac:dyDescent="0.25">
      <c r="B49" s="31" t="s">
        <v>102</v>
      </c>
      <c r="C49" s="38" t="s">
        <v>103</v>
      </c>
      <c r="D49" s="33">
        <f>VLOOKUP($B49,[1]DATOS!$A$1:$N$113,3,FALSE)</f>
        <v>5463686000</v>
      </c>
      <c r="E49" s="39">
        <f>VLOOKUP($B49,[1]DATOS!$A$1:$N$113,4,FALSE)</f>
        <v>-353346882</v>
      </c>
      <c r="F49" s="39">
        <f>VLOOKUP($B49,[1]DATOS!$A$1:$N$113,5,FALSE)</f>
        <v>154614686</v>
      </c>
      <c r="G49" s="39">
        <f t="shared" si="0"/>
        <v>5618300686</v>
      </c>
      <c r="H49" s="33">
        <f>VLOOKUP($B49,[1]DATOS!$A$1:$N$113,7,FALSE)</f>
        <v>0</v>
      </c>
      <c r="I49" s="39">
        <f t="shared" si="1"/>
        <v>5618300686</v>
      </c>
      <c r="J49" s="33">
        <f>VLOOKUP($B49,[1]DATOS!$A$1:$N$113,9,FALSE)</f>
        <v>0</v>
      </c>
      <c r="K49" s="33">
        <f>VLOOKUP($B49,[1]DATOS!$A$1:$N$113,10,FALSE)</f>
        <v>5302521494</v>
      </c>
      <c r="L49" s="40">
        <f t="shared" si="2"/>
        <v>0.94379453688071979</v>
      </c>
      <c r="M49" s="33">
        <f>VLOOKUP($B49,[1]DATOS!$A$1:$N$113,12,FALSE)</f>
        <v>1809154637</v>
      </c>
      <c r="N49" s="33">
        <f>VLOOKUP($B49,[1]DATOS!$A$1:$N$113,13,FALSE)</f>
        <v>2345109708</v>
      </c>
      <c r="O49" s="40">
        <f t="shared" si="3"/>
        <v>0.41740551797871506</v>
      </c>
      <c r="P49" s="25">
        <f t="shared" si="4"/>
        <v>11</v>
      </c>
      <c r="Q49" s="26"/>
      <c r="R49" s="26"/>
    </row>
    <row r="50" spans="1:18" ht="17.25" customHeight="1" x14ac:dyDescent="0.25">
      <c r="B50" s="31" t="s">
        <v>104</v>
      </c>
      <c r="C50" s="32" t="s">
        <v>105</v>
      </c>
      <c r="D50" s="33">
        <f>VLOOKUP($B50,[1]DATOS!$A$1:$N$113,3,FALSE)</f>
        <v>16118213000</v>
      </c>
      <c r="E50" s="33">
        <f>VLOOKUP($B50,[1]DATOS!$A$1:$N$113,4,FALSE)</f>
        <v>-3060598972</v>
      </c>
      <c r="F50" s="33">
        <f>VLOOKUP($B50,[1]DATOS!$A$1:$N$113,5,FALSE)</f>
        <v>-3028243936</v>
      </c>
      <c r="G50" s="33">
        <f t="shared" si="0"/>
        <v>13089969064</v>
      </c>
      <c r="H50" s="33">
        <f>VLOOKUP($B50,[1]DATOS!$A$1:$N$113,7,FALSE)</f>
        <v>0</v>
      </c>
      <c r="I50" s="33">
        <f t="shared" si="1"/>
        <v>13089969064</v>
      </c>
      <c r="J50" s="33">
        <f>VLOOKUP($B50,[1]DATOS!$A$1:$N$113,9,FALSE)</f>
        <v>257027430</v>
      </c>
      <c r="K50" s="33">
        <f>VLOOKUP($B50,[1]DATOS!$A$1:$N$113,10,FALSE)</f>
        <v>7950435950</v>
      </c>
      <c r="L50" s="34">
        <f t="shared" si="2"/>
        <v>0.60736858208972155</v>
      </c>
      <c r="M50" s="33">
        <f>VLOOKUP($B50,[1]DATOS!$A$1:$N$113,12,FALSE)</f>
        <v>900003009</v>
      </c>
      <c r="N50" s="33">
        <f>VLOOKUP($B50,[1]DATOS!$A$1:$N$113,13,FALSE)</f>
        <v>2482384055</v>
      </c>
      <c r="O50" s="34">
        <f t="shared" si="3"/>
        <v>0.1896401773650517</v>
      </c>
      <c r="P50" s="25">
        <f t="shared" si="4"/>
        <v>11</v>
      </c>
      <c r="Q50" s="26"/>
      <c r="R50" s="26"/>
    </row>
    <row r="51" spans="1:18" ht="17.25" customHeight="1" x14ac:dyDescent="0.25">
      <c r="B51" s="31" t="s">
        <v>106</v>
      </c>
      <c r="C51" s="32" t="s">
        <v>107</v>
      </c>
      <c r="D51" s="33">
        <f>VLOOKUP($B51,[1]DATOS!$A$1:$N$113,3,FALSE)</f>
        <v>1467412000</v>
      </c>
      <c r="E51" s="33">
        <f>VLOOKUP($B51,[1]DATOS!$A$1:$N$113,4,FALSE)</f>
        <v>-336607578</v>
      </c>
      <c r="F51" s="33">
        <f>VLOOKUP($B51,[1]DATOS!$A$1:$N$113,5,FALSE)</f>
        <v>-151323858</v>
      </c>
      <c r="G51" s="33">
        <f t="shared" si="0"/>
        <v>1316088142</v>
      </c>
      <c r="H51" s="33">
        <f>VLOOKUP($B51,[1]DATOS!$A$1:$N$113,7,FALSE)</f>
        <v>0</v>
      </c>
      <c r="I51" s="33">
        <f t="shared" si="1"/>
        <v>1316088142</v>
      </c>
      <c r="J51" s="33">
        <f>VLOOKUP($B51,[1]DATOS!$A$1:$N$113,9,FALSE)</f>
        <v>11762000</v>
      </c>
      <c r="K51" s="33">
        <f>VLOOKUP($B51,[1]DATOS!$A$1:$N$113,10,FALSE)</f>
        <v>480213180</v>
      </c>
      <c r="L51" s="34">
        <f t="shared" si="2"/>
        <v>0.36487919363078647</v>
      </c>
      <c r="M51" s="33">
        <f>VLOOKUP($B51,[1]DATOS!$A$1:$N$113,12,FALSE)</f>
        <v>58497315</v>
      </c>
      <c r="N51" s="33">
        <f>VLOOKUP($B51,[1]DATOS!$A$1:$N$113,13,FALSE)</f>
        <v>134489554</v>
      </c>
      <c r="O51" s="34">
        <f t="shared" si="3"/>
        <v>0.10218886540199525</v>
      </c>
      <c r="P51" s="25">
        <f t="shared" si="4"/>
        <v>11</v>
      </c>
      <c r="Q51" s="26"/>
      <c r="R51" s="26"/>
    </row>
    <row r="52" spans="1:18" ht="17.25" customHeight="1" x14ac:dyDescent="0.25">
      <c r="A52" s="15" t="s">
        <v>108</v>
      </c>
      <c r="B52" s="31" t="s">
        <v>109</v>
      </c>
      <c r="C52" s="38" t="s">
        <v>110</v>
      </c>
      <c r="D52" s="33">
        <f>VLOOKUP($B52,[1]DATOS!$A$1:$N$113,3,FALSE)</f>
        <v>146303000</v>
      </c>
      <c r="E52" s="33">
        <f>VLOOKUP($B52,[1]DATOS!$A$1:$N$113,4,FALSE)</f>
        <v>-9726671</v>
      </c>
      <c r="F52" s="33">
        <f>VLOOKUP($B52,[1]DATOS!$A$1:$N$113,5,FALSE)</f>
        <v>39981329</v>
      </c>
      <c r="G52" s="39">
        <f t="shared" si="0"/>
        <v>186284329</v>
      </c>
      <c r="H52" s="33">
        <f>VLOOKUP($B52,[1]DATOS!$A$1:$N$113,7,FALSE)</f>
        <v>0</v>
      </c>
      <c r="I52" s="39">
        <f t="shared" si="1"/>
        <v>186284329</v>
      </c>
      <c r="J52" s="33">
        <f>VLOOKUP($B52,[1]DATOS!$A$1:$N$113,9,FALSE)</f>
        <v>0</v>
      </c>
      <c r="K52" s="33">
        <f>VLOOKUP($B52,[1]DATOS!$A$1:$N$113,10,FALSE)</f>
        <v>25524207</v>
      </c>
      <c r="L52" s="40">
        <f t="shared" si="2"/>
        <v>0.13701746752943453</v>
      </c>
      <c r="M52" s="33">
        <f>VLOOKUP($B52,[1]DATOS!$A$1:$N$113,12,FALSE)</f>
        <v>0</v>
      </c>
      <c r="N52" s="33">
        <f>VLOOKUP($B52,[1]DATOS!$A$1:$N$113,13,FALSE)</f>
        <v>6220970</v>
      </c>
      <c r="O52" s="40">
        <f t="shared" si="3"/>
        <v>3.33950259444529E-2</v>
      </c>
      <c r="P52" s="25">
        <f t="shared" si="4"/>
        <v>11</v>
      </c>
      <c r="Q52" s="26"/>
      <c r="R52" s="26"/>
    </row>
    <row r="53" spans="1:18" s="37" customFormat="1" ht="17.25" customHeight="1" x14ac:dyDescent="0.25">
      <c r="B53" s="21" t="s">
        <v>111</v>
      </c>
      <c r="C53" s="22" t="s">
        <v>112</v>
      </c>
      <c r="D53" s="44">
        <f>+D54</f>
        <v>1800000000</v>
      </c>
      <c r="E53" s="44">
        <f t="shared" ref="E53:F55" si="5">+E54</f>
        <v>-471206471</v>
      </c>
      <c r="F53" s="44">
        <f t="shared" si="5"/>
        <v>-471206471</v>
      </c>
      <c r="G53" s="44">
        <f t="shared" si="0"/>
        <v>1328793529</v>
      </c>
      <c r="H53" s="44">
        <f>+H54</f>
        <v>0</v>
      </c>
      <c r="I53" s="44">
        <f t="shared" si="1"/>
        <v>1328793529</v>
      </c>
      <c r="J53" s="44">
        <f t="shared" ref="J53:K55" si="6">+J54</f>
        <v>0</v>
      </c>
      <c r="K53" s="44">
        <f t="shared" si="6"/>
        <v>0</v>
      </c>
      <c r="L53" s="45">
        <f t="shared" si="2"/>
        <v>0</v>
      </c>
      <c r="M53" s="44">
        <f t="shared" ref="M53:N55" si="7">+M54</f>
        <v>0</v>
      </c>
      <c r="N53" s="44">
        <f t="shared" si="7"/>
        <v>0</v>
      </c>
      <c r="O53" s="45">
        <f t="shared" si="3"/>
        <v>0</v>
      </c>
      <c r="P53" s="25">
        <f t="shared" si="4"/>
        <v>4</v>
      </c>
      <c r="Q53" s="26"/>
      <c r="R53" s="26"/>
    </row>
    <row r="54" spans="1:18" s="37" customFormat="1" ht="17.25" customHeight="1" x14ac:dyDescent="0.25">
      <c r="B54" s="27" t="s">
        <v>113</v>
      </c>
      <c r="C54" s="28" t="s">
        <v>114</v>
      </c>
      <c r="D54" s="35">
        <f>+D55</f>
        <v>1800000000</v>
      </c>
      <c r="E54" s="35">
        <f t="shared" si="5"/>
        <v>-471206471</v>
      </c>
      <c r="F54" s="35">
        <f t="shared" si="5"/>
        <v>-471206471</v>
      </c>
      <c r="G54" s="35">
        <f t="shared" si="0"/>
        <v>1328793529</v>
      </c>
      <c r="H54" s="35">
        <f>+H55</f>
        <v>0</v>
      </c>
      <c r="I54" s="35">
        <f t="shared" si="1"/>
        <v>1328793529</v>
      </c>
      <c r="J54" s="35">
        <f t="shared" si="6"/>
        <v>0</v>
      </c>
      <c r="K54" s="35">
        <f t="shared" si="6"/>
        <v>0</v>
      </c>
      <c r="L54" s="36">
        <f t="shared" si="2"/>
        <v>0</v>
      </c>
      <c r="M54" s="35">
        <f t="shared" si="7"/>
        <v>0</v>
      </c>
      <c r="N54" s="35">
        <f t="shared" si="7"/>
        <v>0</v>
      </c>
      <c r="O54" s="36">
        <f t="shared" si="3"/>
        <v>0</v>
      </c>
      <c r="P54" s="25">
        <f t="shared" si="4"/>
        <v>6</v>
      </c>
      <c r="Q54" s="26"/>
      <c r="R54" s="26"/>
    </row>
    <row r="55" spans="1:18" s="37" customFormat="1" ht="17.25" customHeight="1" x14ac:dyDescent="0.25">
      <c r="B55" s="27" t="s">
        <v>115</v>
      </c>
      <c r="C55" s="28" t="s">
        <v>116</v>
      </c>
      <c r="D55" s="35">
        <f>+D56</f>
        <v>1800000000</v>
      </c>
      <c r="E55" s="35">
        <f t="shared" si="5"/>
        <v>-471206471</v>
      </c>
      <c r="F55" s="35">
        <f t="shared" si="5"/>
        <v>-471206471</v>
      </c>
      <c r="G55" s="35">
        <f t="shared" si="0"/>
        <v>1328793529</v>
      </c>
      <c r="H55" s="35">
        <f>+H56</f>
        <v>0</v>
      </c>
      <c r="I55" s="35">
        <f t="shared" si="1"/>
        <v>1328793529</v>
      </c>
      <c r="J55" s="35">
        <f t="shared" si="6"/>
        <v>0</v>
      </c>
      <c r="K55" s="35">
        <f t="shared" si="6"/>
        <v>0</v>
      </c>
      <c r="L55" s="36">
        <f t="shared" si="2"/>
        <v>0</v>
      </c>
      <c r="M55" s="35">
        <f t="shared" si="7"/>
        <v>0</v>
      </c>
      <c r="N55" s="35">
        <f t="shared" si="7"/>
        <v>0</v>
      </c>
      <c r="O55" s="36">
        <f t="shared" si="3"/>
        <v>0</v>
      </c>
      <c r="P55" s="25">
        <f t="shared" si="4"/>
        <v>8</v>
      </c>
      <c r="Q55" s="26"/>
      <c r="R55" s="26"/>
    </row>
    <row r="56" spans="1:18" ht="17.25" customHeight="1" x14ac:dyDescent="0.25">
      <c r="B56" s="31" t="s">
        <v>117</v>
      </c>
      <c r="C56" s="38" t="s">
        <v>118</v>
      </c>
      <c r="D56" s="33">
        <f>VLOOKUP($B56,[1]DATOS!$A$1:$N$113,3,FALSE)</f>
        <v>1800000000</v>
      </c>
      <c r="E56" s="39">
        <f>VLOOKUP($B56,[1]DATOS!$A$1:$N$113,4,FALSE)</f>
        <v>-471206471</v>
      </c>
      <c r="F56" s="39">
        <f>VLOOKUP($B56,[1]DATOS!$A$1:$N$113,5,FALSE)</f>
        <v>-471206471</v>
      </c>
      <c r="G56" s="39">
        <f t="shared" si="0"/>
        <v>1328793529</v>
      </c>
      <c r="H56" s="33">
        <f>VLOOKUP($B56,[1]DATOS!$A$1:$N$113,7,FALSE)</f>
        <v>0</v>
      </c>
      <c r="I56" s="39">
        <f t="shared" si="1"/>
        <v>1328793529</v>
      </c>
      <c r="J56" s="33">
        <f>VLOOKUP($B56,[1]DATOS!$A$1:$N$113,9,FALSE)</f>
        <v>0</v>
      </c>
      <c r="K56" s="33">
        <f>VLOOKUP($B56,[1]DATOS!$A$1:$N$113,10,FALSE)</f>
        <v>0</v>
      </c>
      <c r="L56" s="40">
        <f t="shared" si="2"/>
        <v>0</v>
      </c>
      <c r="M56" s="33">
        <f>VLOOKUP($B56,[1]DATOS!$A$1:$N$113,12,FALSE)</f>
        <v>0</v>
      </c>
      <c r="N56" s="33">
        <f>VLOOKUP($B56,[1]DATOS!$A$1:$N$113,13,FALSE)</f>
        <v>0</v>
      </c>
      <c r="O56" s="40">
        <f t="shared" si="3"/>
        <v>0</v>
      </c>
      <c r="P56" s="25">
        <f t="shared" si="4"/>
        <v>11</v>
      </c>
      <c r="Q56" s="26"/>
      <c r="R56" s="26"/>
    </row>
    <row r="57" spans="1:18" s="37" customFormat="1" ht="17.25" customHeight="1" x14ac:dyDescent="0.25">
      <c r="B57" s="21" t="s">
        <v>119</v>
      </c>
      <c r="C57" s="47" t="s">
        <v>120</v>
      </c>
      <c r="D57" s="48">
        <f>+D58</f>
        <v>7013635000</v>
      </c>
      <c r="E57" s="48">
        <f>+E58</f>
        <v>0</v>
      </c>
      <c r="F57" s="48">
        <f>+F58</f>
        <v>0</v>
      </c>
      <c r="G57" s="48">
        <f t="shared" si="0"/>
        <v>7013635000</v>
      </c>
      <c r="H57" s="48">
        <f>+H58</f>
        <v>0</v>
      </c>
      <c r="I57" s="48">
        <f t="shared" si="1"/>
        <v>7013635000</v>
      </c>
      <c r="J57" s="48">
        <f>+J58</f>
        <v>1704766000</v>
      </c>
      <c r="K57" s="48">
        <f>+K58</f>
        <v>3323045000</v>
      </c>
      <c r="L57" s="49">
        <f t="shared" si="2"/>
        <v>0.47379782381033514</v>
      </c>
      <c r="M57" s="48">
        <f>+M58</f>
        <v>1704766000</v>
      </c>
      <c r="N57" s="48">
        <f>+N58</f>
        <v>3323045000</v>
      </c>
      <c r="O57" s="49">
        <f t="shared" si="3"/>
        <v>0.47379782381033514</v>
      </c>
      <c r="P57" s="25">
        <f t="shared" si="4"/>
        <v>4</v>
      </c>
      <c r="Q57" s="26"/>
      <c r="R57" s="26"/>
    </row>
    <row r="58" spans="1:18" s="37" customFormat="1" ht="17.25" customHeight="1" x14ac:dyDescent="0.25">
      <c r="B58" s="27" t="s">
        <v>121</v>
      </c>
      <c r="C58" s="46" t="s">
        <v>122</v>
      </c>
      <c r="D58" s="42">
        <f>SUM(D59:D61)</f>
        <v>7013635000</v>
      </c>
      <c r="E58" s="42">
        <f>SUM(E59:E61)</f>
        <v>0</v>
      </c>
      <c r="F58" s="42">
        <f>SUM(F59:F61)</f>
        <v>0</v>
      </c>
      <c r="G58" s="42">
        <f t="shared" si="0"/>
        <v>7013635000</v>
      </c>
      <c r="H58" s="42">
        <f>SUM(H59:H61)</f>
        <v>0</v>
      </c>
      <c r="I58" s="42">
        <f t="shared" si="1"/>
        <v>7013635000</v>
      </c>
      <c r="J58" s="42">
        <f>SUM(J59:J61)</f>
        <v>1704766000</v>
      </c>
      <c r="K58" s="42">
        <f>SUM(K59:K61)</f>
        <v>3323045000</v>
      </c>
      <c r="L58" s="43">
        <f t="shared" si="2"/>
        <v>0.47379782381033514</v>
      </c>
      <c r="M58" s="42">
        <f>SUM(M59:M61)</f>
        <v>1704766000</v>
      </c>
      <c r="N58" s="42">
        <f>SUM(N59:N61)</f>
        <v>3323045000</v>
      </c>
      <c r="O58" s="43">
        <f t="shared" si="3"/>
        <v>0.47379782381033514</v>
      </c>
      <c r="P58" s="25">
        <f t="shared" si="4"/>
        <v>6</v>
      </c>
      <c r="Q58" s="26"/>
      <c r="R58" s="26"/>
    </row>
    <row r="59" spans="1:18" ht="17.25" customHeight="1" x14ac:dyDescent="0.25">
      <c r="B59" s="31" t="s">
        <v>123</v>
      </c>
      <c r="C59" s="32" t="s">
        <v>124</v>
      </c>
      <c r="D59" s="33">
        <f>VLOOKUP($B59,[1]DATOS!$A$1:$N$113,3,FALSE)</f>
        <v>3537077000</v>
      </c>
      <c r="E59" s="33">
        <f>VLOOKUP($B59,[1]DATOS!$A$1:$N$113,4,FALSE)</f>
        <v>0</v>
      </c>
      <c r="F59" s="33">
        <f>VLOOKUP($B59,[1]DATOS!$A$1:$N$113,5,FALSE)</f>
        <v>0</v>
      </c>
      <c r="G59" s="33">
        <f t="shared" si="0"/>
        <v>3537077000</v>
      </c>
      <c r="H59" s="33">
        <f>VLOOKUP($B59,[1]DATOS!$A$1:$N$113,7,FALSE)</f>
        <v>0</v>
      </c>
      <c r="I59" s="33">
        <f t="shared" si="1"/>
        <v>3537077000</v>
      </c>
      <c r="J59" s="33">
        <f>VLOOKUP($B59,[1]DATOS!$A$1:$N$113,9,FALSE)</f>
        <v>1652643000</v>
      </c>
      <c r="K59" s="33">
        <f>VLOOKUP($B59,[1]DATOS!$A$1:$N$113,10,FALSE)</f>
        <v>2509732000</v>
      </c>
      <c r="L59" s="34">
        <f t="shared" si="2"/>
        <v>0.70954972142251926</v>
      </c>
      <c r="M59" s="33">
        <f>VLOOKUP($B59,[1]DATOS!$A$1:$N$113,12,FALSE)</f>
        <v>1652643000</v>
      </c>
      <c r="N59" s="33">
        <f>VLOOKUP($B59,[1]DATOS!$A$1:$N$113,13,FALSE)</f>
        <v>2509732000</v>
      </c>
      <c r="O59" s="34">
        <f t="shared" si="3"/>
        <v>0.70954972142251926</v>
      </c>
      <c r="P59" s="25">
        <f t="shared" si="4"/>
        <v>8</v>
      </c>
      <c r="Q59" s="26"/>
      <c r="R59" s="26"/>
    </row>
    <row r="60" spans="1:18" ht="17.25" customHeight="1" x14ac:dyDescent="0.25">
      <c r="B60" s="31" t="s">
        <v>125</v>
      </c>
      <c r="C60" s="38" t="s">
        <v>126</v>
      </c>
      <c r="D60" s="33">
        <f>VLOOKUP($B60,[1]DATOS!$A$1:$N$113,3,FALSE)</f>
        <v>5000000</v>
      </c>
      <c r="E60" s="39">
        <f>VLOOKUP($B60,[1]DATOS!$A$1:$N$113,4,FALSE)</f>
        <v>0</v>
      </c>
      <c r="F60" s="39">
        <f>VLOOKUP($B60,[1]DATOS!$A$1:$N$113,5,FALSE)</f>
        <v>0</v>
      </c>
      <c r="G60" s="39">
        <f t="shared" si="0"/>
        <v>5000000</v>
      </c>
      <c r="H60" s="33">
        <f>VLOOKUP($B60,[1]DATOS!$A$1:$N$113,7,FALSE)</f>
        <v>0</v>
      </c>
      <c r="I60" s="39">
        <f t="shared" si="1"/>
        <v>5000000</v>
      </c>
      <c r="J60" s="33">
        <f>VLOOKUP($B60,[1]DATOS!$A$1:$N$113,9,FALSE)</f>
        <v>0</v>
      </c>
      <c r="K60" s="33">
        <f>VLOOKUP($B60,[1]DATOS!$A$1:$N$113,10,FALSE)</f>
        <v>0</v>
      </c>
      <c r="L60" s="40">
        <f t="shared" si="2"/>
        <v>0</v>
      </c>
      <c r="M60" s="33">
        <f>VLOOKUP($B60,[1]DATOS!$A$1:$N$113,12,FALSE)</f>
        <v>0</v>
      </c>
      <c r="N60" s="33">
        <f>VLOOKUP($B60,[1]DATOS!$A$1:$N$113,13,FALSE)</f>
        <v>0</v>
      </c>
      <c r="O60" s="40">
        <f t="shared" si="3"/>
        <v>0</v>
      </c>
      <c r="P60" s="25">
        <f t="shared" si="4"/>
        <v>8</v>
      </c>
      <c r="Q60" s="26"/>
      <c r="R60" s="26"/>
    </row>
    <row r="61" spans="1:18" ht="17.25" customHeight="1" x14ac:dyDescent="0.25">
      <c r="B61" s="31" t="s">
        <v>127</v>
      </c>
      <c r="C61" s="32" t="s">
        <v>128</v>
      </c>
      <c r="D61" s="33">
        <f>VLOOKUP($B61,[1]DATOS!$A$1:$N$113,3,FALSE)</f>
        <v>3471558000</v>
      </c>
      <c r="E61" s="39">
        <f>VLOOKUP($B61,[1]DATOS!$A$1:$N$113,4,FALSE)</f>
        <v>0</v>
      </c>
      <c r="F61" s="39">
        <f>VLOOKUP($B61,[1]DATOS!$A$1:$N$113,5,FALSE)</f>
        <v>0</v>
      </c>
      <c r="G61" s="39">
        <f t="shared" si="0"/>
        <v>3471558000</v>
      </c>
      <c r="H61" s="33">
        <f>VLOOKUP($B61,[1]DATOS!$A$1:$N$113,7,FALSE)</f>
        <v>0</v>
      </c>
      <c r="I61" s="39">
        <f t="shared" si="1"/>
        <v>3471558000</v>
      </c>
      <c r="J61" s="33">
        <f>VLOOKUP($B61,[1]DATOS!$A$1:$N$113,9,FALSE)</f>
        <v>52123000</v>
      </c>
      <c r="K61" s="33">
        <f>VLOOKUP($B61,[1]DATOS!$A$1:$N$113,10,FALSE)</f>
        <v>813313000</v>
      </c>
      <c r="L61" s="40">
        <f t="shared" si="2"/>
        <v>0.23427896062805231</v>
      </c>
      <c r="M61" s="33">
        <f>VLOOKUP($B61,[1]DATOS!$A$1:$N$113,12,FALSE)</f>
        <v>52123000</v>
      </c>
      <c r="N61" s="33">
        <f>VLOOKUP($B61,[1]DATOS!$A$1:$N$113,13,FALSE)</f>
        <v>813313000</v>
      </c>
      <c r="O61" s="40">
        <f t="shared" si="3"/>
        <v>0.23427896062805231</v>
      </c>
      <c r="P61" s="25">
        <f t="shared" si="4"/>
        <v>8</v>
      </c>
      <c r="Q61" s="26"/>
      <c r="R61" s="26"/>
    </row>
    <row r="62" spans="1:18" s="37" customFormat="1" ht="17.25" customHeight="1" x14ac:dyDescent="0.25">
      <c r="B62" s="21" t="s">
        <v>129</v>
      </c>
      <c r="C62" s="47" t="s">
        <v>130</v>
      </c>
      <c r="D62" s="44">
        <f t="shared" ref="D62:F62" si="8">+D63</f>
        <v>177372133000</v>
      </c>
      <c r="E62" s="44">
        <f t="shared" si="8"/>
        <v>106184353838</v>
      </c>
      <c r="F62" s="44">
        <f t="shared" si="8"/>
        <v>106184353838</v>
      </c>
      <c r="G62" s="44">
        <f t="shared" si="0"/>
        <v>283556486838</v>
      </c>
      <c r="H62" s="44">
        <f>+H63</f>
        <v>0</v>
      </c>
      <c r="I62" s="44">
        <f t="shared" si="1"/>
        <v>283556486838</v>
      </c>
      <c r="J62" s="44">
        <f>+J63</f>
        <v>110763406528</v>
      </c>
      <c r="K62" s="44">
        <f>+K63</f>
        <v>243063850257</v>
      </c>
      <c r="L62" s="45">
        <f t="shared" si="2"/>
        <v>0.85719728357287051</v>
      </c>
      <c r="M62" s="44">
        <f>+M63</f>
        <v>2053660783</v>
      </c>
      <c r="N62" s="44">
        <f>+N63</f>
        <v>2788989018</v>
      </c>
      <c r="O62" s="45">
        <f t="shared" si="3"/>
        <v>9.8357440138316793E-3</v>
      </c>
      <c r="P62" s="25">
        <f t="shared" si="4"/>
        <v>3</v>
      </c>
      <c r="Q62" s="26"/>
      <c r="R62" s="26"/>
    </row>
    <row r="63" spans="1:18" s="37" customFormat="1" ht="17.25" customHeight="1" x14ac:dyDescent="0.25">
      <c r="B63" s="21" t="s">
        <v>131</v>
      </c>
      <c r="C63" s="47" t="s">
        <v>132</v>
      </c>
      <c r="D63" s="44">
        <f>D64</f>
        <v>177372133000</v>
      </c>
      <c r="E63" s="44">
        <f t="shared" ref="E63:N63" si="9">E64</f>
        <v>106184353838</v>
      </c>
      <c r="F63" s="44">
        <f t="shared" si="9"/>
        <v>106184353838</v>
      </c>
      <c r="G63" s="44">
        <f t="shared" si="9"/>
        <v>283556486838</v>
      </c>
      <c r="H63" s="44">
        <f t="shared" si="9"/>
        <v>0</v>
      </c>
      <c r="I63" s="44">
        <f t="shared" si="9"/>
        <v>283556486838</v>
      </c>
      <c r="J63" s="44">
        <f t="shared" si="9"/>
        <v>110763406528</v>
      </c>
      <c r="K63" s="44">
        <f t="shared" si="9"/>
        <v>243063850257</v>
      </c>
      <c r="L63" s="45">
        <f t="shared" si="9"/>
        <v>0.85719728357287051</v>
      </c>
      <c r="M63" s="44">
        <f t="shared" si="9"/>
        <v>2053660783</v>
      </c>
      <c r="N63" s="44">
        <f t="shared" si="9"/>
        <v>2788989018</v>
      </c>
      <c r="O63" s="45">
        <f t="shared" si="3"/>
        <v>9.8357440138316793E-3</v>
      </c>
      <c r="P63" s="25">
        <f t="shared" si="4"/>
        <v>5</v>
      </c>
      <c r="Q63" s="26"/>
      <c r="R63" s="26"/>
    </row>
    <row r="64" spans="1:18" ht="17.25" customHeight="1" x14ac:dyDescent="0.25">
      <c r="B64" s="27" t="s">
        <v>133</v>
      </c>
      <c r="C64" s="46" t="s">
        <v>134</v>
      </c>
      <c r="D64" s="42">
        <f>SUM(D65,D71)</f>
        <v>177372133000</v>
      </c>
      <c r="E64" s="42">
        <f t="shared" ref="E64:N64" si="10">SUM(E65,E71)</f>
        <v>106184353838</v>
      </c>
      <c r="F64" s="42">
        <f t="shared" si="10"/>
        <v>106184353838</v>
      </c>
      <c r="G64" s="42">
        <f t="shared" ref="G64:G87" si="11">+D64+F64</f>
        <v>283556486838</v>
      </c>
      <c r="H64" s="42">
        <f t="shared" si="10"/>
        <v>0</v>
      </c>
      <c r="I64" s="42">
        <f t="shared" ref="I64:I87" si="12">+G64-H64</f>
        <v>283556486838</v>
      </c>
      <c r="J64" s="42">
        <f t="shared" si="10"/>
        <v>110763406528</v>
      </c>
      <c r="K64" s="42">
        <f t="shared" si="10"/>
        <v>243063850257</v>
      </c>
      <c r="L64" s="43">
        <f t="shared" ref="L64:L87" si="13">IFERROR(K64/I64,0)</f>
        <v>0.85719728357287051</v>
      </c>
      <c r="M64" s="42">
        <f t="shared" si="10"/>
        <v>2053660783</v>
      </c>
      <c r="N64" s="42">
        <f t="shared" si="10"/>
        <v>2788989018</v>
      </c>
      <c r="O64" s="43">
        <f t="shared" si="3"/>
        <v>9.8357440138316793E-3</v>
      </c>
      <c r="P64" s="25">
        <f t="shared" si="4"/>
        <v>7</v>
      </c>
      <c r="Q64" s="26"/>
      <c r="R64" s="26"/>
    </row>
    <row r="65" spans="1:18" ht="17.25" customHeight="1" x14ac:dyDescent="0.25">
      <c r="B65" s="27" t="s">
        <v>135</v>
      </c>
      <c r="C65" s="46" t="s">
        <v>136</v>
      </c>
      <c r="D65" s="42">
        <f>SUM(D66,D68)</f>
        <v>168947133000</v>
      </c>
      <c r="E65" s="42">
        <f t="shared" ref="E65:N65" si="14">SUM(E66,E68)</f>
        <v>107971371695</v>
      </c>
      <c r="F65" s="42">
        <f t="shared" si="14"/>
        <v>108044371695</v>
      </c>
      <c r="G65" s="42">
        <f t="shared" si="11"/>
        <v>276991504695</v>
      </c>
      <c r="H65" s="42">
        <f t="shared" si="14"/>
        <v>0</v>
      </c>
      <c r="I65" s="42">
        <f t="shared" si="12"/>
        <v>276991504695</v>
      </c>
      <c r="J65" s="42">
        <f t="shared" si="14"/>
        <v>110677406528</v>
      </c>
      <c r="K65" s="42">
        <f t="shared" si="14"/>
        <v>239491894964</v>
      </c>
      <c r="L65" s="43">
        <f t="shared" si="13"/>
        <v>0.86461819552086461</v>
      </c>
      <c r="M65" s="42">
        <f t="shared" si="14"/>
        <v>1829566213</v>
      </c>
      <c r="N65" s="42">
        <f t="shared" si="14"/>
        <v>2320513258</v>
      </c>
      <c r="O65" s="43">
        <f t="shared" si="3"/>
        <v>8.3775611116851979E-3</v>
      </c>
      <c r="P65" s="25">
        <f t="shared" si="4"/>
        <v>9</v>
      </c>
      <c r="Q65" s="26"/>
      <c r="R65" s="26"/>
    </row>
    <row r="66" spans="1:18" ht="17.25" customHeight="1" x14ac:dyDescent="0.25">
      <c r="B66" s="27" t="s">
        <v>137</v>
      </c>
      <c r="C66" s="46" t="s">
        <v>138</v>
      </c>
      <c r="D66" s="42">
        <f>D67</f>
        <v>17895453000</v>
      </c>
      <c r="E66" s="42">
        <f t="shared" ref="E66:N66" si="15">E67</f>
        <v>-316962090</v>
      </c>
      <c r="F66" s="42">
        <f t="shared" si="15"/>
        <v>-316962090</v>
      </c>
      <c r="G66" s="42">
        <f t="shared" si="11"/>
        <v>17578490910</v>
      </c>
      <c r="H66" s="42">
        <f t="shared" si="15"/>
        <v>0</v>
      </c>
      <c r="I66" s="42">
        <f t="shared" si="12"/>
        <v>17578490910</v>
      </c>
      <c r="J66" s="42">
        <f t="shared" si="15"/>
        <v>0</v>
      </c>
      <c r="K66" s="42">
        <f t="shared" si="15"/>
        <v>357225910</v>
      </c>
      <c r="L66" s="43">
        <f t="shared" si="13"/>
        <v>2.0321762080087454E-2</v>
      </c>
      <c r="M66" s="42">
        <f t="shared" si="15"/>
        <v>6343800</v>
      </c>
      <c r="N66" s="42">
        <f t="shared" si="15"/>
        <v>20448040</v>
      </c>
      <c r="O66" s="43">
        <f t="shared" si="3"/>
        <v>1.1632420612606501E-3</v>
      </c>
      <c r="P66" s="25">
        <f t="shared" si="4"/>
        <v>11</v>
      </c>
      <c r="Q66" s="26"/>
      <c r="R66" s="26"/>
    </row>
    <row r="67" spans="1:18" ht="17.25" customHeight="1" x14ac:dyDescent="0.25">
      <c r="B67" s="50" t="s">
        <v>139</v>
      </c>
      <c r="C67" s="51" t="s">
        <v>140</v>
      </c>
      <c r="D67" s="52">
        <f>VLOOKUP($B67,[1]DATOS!$A$1:$N$117,3,FALSE)</f>
        <v>17895453000</v>
      </c>
      <c r="E67" s="52">
        <f>VLOOKUP($B67,[1]DATOS!$A$1:$N$117,4,FALSE)</f>
        <v>-316962090</v>
      </c>
      <c r="F67" s="52">
        <f>VLOOKUP($B67,[1]DATOS!$A$1:$N$117,5,FALSE)</f>
        <v>-316962090</v>
      </c>
      <c r="G67" s="53">
        <f t="shared" si="11"/>
        <v>17578490910</v>
      </c>
      <c r="H67" s="52">
        <f>VLOOKUP($B67,[1]DATOS!$A$1:$N$117,7,FALSE)</f>
        <v>0</v>
      </c>
      <c r="I67" s="53">
        <f t="shared" si="12"/>
        <v>17578490910</v>
      </c>
      <c r="J67" s="52">
        <f>VLOOKUP($B67,[1]DATOS!$A$1:$N$117,9,FALSE)</f>
        <v>0</v>
      </c>
      <c r="K67" s="52">
        <f>VLOOKUP($B67,[1]DATOS!$A$1:$N$117,10,FALSE)</f>
        <v>357225910</v>
      </c>
      <c r="L67" s="54">
        <f t="shared" si="13"/>
        <v>2.0321762080087454E-2</v>
      </c>
      <c r="M67" s="52">
        <f>VLOOKUP($B67,[1]DATOS!$A$1:$N$117,12,FALSE)</f>
        <v>6343800</v>
      </c>
      <c r="N67" s="52">
        <f>VLOOKUP($B67,[1]DATOS!$A$1:$N$117,13,FALSE)</f>
        <v>20448040</v>
      </c>
      <c r="O67" s="54">
        <f t="shared" si="3"/>
        <v>1.1632420612606501E-3</v>
      </c>
      <c r="P67" s="25">
        <f t="shared" si="4"/>
        <v>24</v>
      </c>
      <c r="Q67" s="26"/>
      <c r="R67" s="26"/>
    </row>
    <row r="68" spans="1:18" ht="17.25" customHeight="1" x14ac:dyDescent="0.25">
      <c r="B68" s="27" t="s">
        <v>141</v>
      </c>
      <c r="C68" s="46" t="s">
        <v>142</v>
      </c>
      <c r="D68" s="42">
        <f>SUM(D69:D70)</f>
        <v>151051680000</v>
      </c>
      <c r="E68" s="42">
        <f t="shared" ref="E68:N68" si="16">SUM(E69:E70)</f>
        <v>108288333785</v>
      </c>
      <c r="F68" s="42">
        <f t="shared" si="16"/>
        <v>108361333785</v>
      </c>
      <c r="G68" s="42">
        <f t="shared" si="11"/>
        <v>259413013785</v>
      </c>
      <c r="H68" s="42">
        <f t="shared" si="16"/>
        <v>0</v>
      </c>
      <c r="I68" s="42">
        <f t="shared" si="12"/>
        <v>259413013785</v>
      </c>
      <c r="J68" s="42">
        <f t="shared" si="16"/>
        <v>110677406528</v>
      </c>
      <c r="K68" s="42">
        <f t="shared" si="16"/>
        <v>239134669054</v>
      </c>
      <c r="L68" s="43">
        <f t="shared" si="13"/>
        <v>0.92182988649980924</v>
      </c>
      <c r="M68" s="42">
        <f t="shared" si="16"/>
        <v>1823222413</v>
      </c>
      <c r="N68" s="42">
        <f t="shared" si="16"/>
        <v>2300065218</v>
      </c>
      <c r="O68" s="43">
        <f t="shared" si="3"/>
        <v>8.8664218669703317E-3</v>
      </c>
      <c r="P68" s="25">
        <f t="shared" si="4"/>
        <v>11</v>
      </c>
      <c r="Q68" s="26"/>
      <c r="R68" s="26"/>
    </row>
    <row r="69" spans="1:18" ht="17.25" customHeight="1" x14ac:dyDescent="0.25">
      <c r="B69" s="50" t="s">
        <v>143</v>
      </c>
      <c r="C69" s="51" t="s">
        <v>144</v>
      </c>
      <c r="D69" s="52">
        <f>VLOOKUP($B69,[1]DATOS!$A$1:$N$117,3,FALSE)</f>
        <v>136746686000</v>
      </c>
      <c r="E69" s="52">
        <f>VLOOKUP($B69,[1]DATOS!$A$1:$N$117,4,FALSE)</f>
        <v>108353497705</v>
      </c>
      <c r="F69" s="52">
        <f>VLOOKUP($B69,[1]DATOS!$A$1:$N$117,5,FALSE)</f>
        <v>108353497705</v>
      </c>
      <c r="G69" s="53">
        <f t="shared" si="11"/>
        <v>245100183705</v>
      </c>
      <c r="H69" s="52">
        <f>VLOOKUP($B69,[1]DATOS!$A$1:$N$117,7,FALSE)</f>
        <v>0</v>
      </c>
      <c r="I69" s="53">
        <f t="shared" si="12"/>
        <v>245100183705</v>
      </c>
      <c r="J69" s="52">
        <f>VLOOKUP($B69,[1]DATOS!$A$1:$N$117,9,FALSE)</f>
        <v>110681307860</v>
      </c>
      <c r="K69" s="52">
        <f>VLOOKUP($B69,[1]DATOS!$A$1:$N$117,10,FALSE)</f>
        <v>238188101974</v>
      </c>
      <c r="L69" s="54">
        <f t="shared" si="13"/>
        <v>0.97179895328304078</v>
      </c>
      <c r="M69" s="52">
        <f>VLOOKUP($B69,[1]DATOS!$A$1:$N$117,12,FALSE)</f>
        <v>1667142738</v>
      </c>
      <c r="N69" s="52">
        <f>VLOOKUP($B69,[1]DATOS!$A$1:$N$117,13,FALSE)</f>
        <v>1985636280</v>
      </c>
      <c r="O69" s="54">
        <f t="shared" si="3"/>
        <v>8.1013251397228283E-3</v>
      </c>
      <c r="P69" s="25">
        <f t="shared" si="4"/>
        <v>24</v>
      </c>
      <c r="Q69" s="26"/>
      <c r="R69" s="26"/>
    </row>
    <row r="70" spans="1:18" ht="17.25" customHeight="1" x14ac:dyDescent="0.25">
      <c r="B70" s="50" t="s">
        <v>145</v>
      </c>
      <c r="C70" s="51" t="s">
        <v>146</v>
      </c>
      <c r="D70" s="52">
        <f>VLOOKUP($B70,[1]DATOS!$A$1:$N$117,3,FALSE)</f>
        <v>14304994000</v>
      </c>
      <c r="E70" s="52">
        <f>VLOOKUP($B70,[1]DATOS!$A$1:$N$117,4,FALSE)</f>
        <v>-65163920</v>
      </c>
      <c r="F70" s="52">
        <f>VLOOKUP($B70,[1]DATOS!$A$1:$N$117,5,FALSE)</f>
        <v>7836080</v>
      </c>
      <c r="G70" s="53">
        <f t="shared" si="11"/>
        <v>14312830080</v>
      </c>
      <c r="H70" s="52">
        <f>VLOOKUP($B70,[1]DATOS!$A$1:$N$117,7,FALSE)</f>
        <v>0</v>
      </c>
      <c r="I70" s="53">
        <f t="shared" si="12"/>
        <v>14312830080</v>
      </c>
      <c r="J70" s="52">
        <f>VLOOKUP($B70,[1]DATOS!$A$1:$N$117,9,FALSE)</f>
        <v>-3901332</v>
      </c>
      <c r="K70" s="52">
        <f>VLOOKUP($B70,[1]DATOS!$A$1:$N$117,10,FALSE)</f>
        <v>946567080</v>
      </c>
      <c r="L70" s="54">
        <f t="shared" si="13"/>
        <v>6.6134165969222489E-2</v>
      </c>
      <c r="M70" s="52">
        <f>VLOOKUP($B70,[1]DATOS!$A$1:$N$117,12,FALSE)</f>
        <v>156079675</v>
      </c>
      <c r="N70" s="52">
        <f>VLOOKUP($B70,[1]DATOS!$A$1:$N$117,13,FALSE)</f>
        <v>314428938</v>
      </c>
      <c r="O70" s="54">
        <f t="shared" si="3"/>
        <v>2.1968327454635721E-2</v>
      </c>
      <c r="P70" s="25">
        <f t="shared" si="4"/>
        <v>24</v>
      </c>
      <c r="Q70" s="26"/>
      <c r="R70" s="26"/>
    </row>
    <row r="71" spans="1:18" ht="17.25" customHeight="1" x14ac:dyDescent="0.25">
      <c r="B71" s="27" t="s">
        <v>147</v>
      </c>
      <c r="C71" s="46" t="s">
        <v>148</v>
      </c>
      <c r="D71" s="42">
        <f>D72</f>
        <v>8425000000</v>
      </c>
      <c r="E71" s="42">
        <f t="shared" ref="E71:N72" si="17">E72</f>
        <v>-1787017857</v>
      </c>
      <c r="F71" s="42">
        <f t="shared" si="17"/>
        <v>-1860017857</v>
      </c>
      <c r="G71" s="42">
        <f t="shared" si="11"/>
        <v>6564982143</v>
      </c>
      <c r="H71" s="42">
        <f t="shared" si="17"/>
        <v>0</v>
      </c>
      <c r="I71" s="42">
        <f t="shared" si="12"/>
        <v>6564982143</v>
      </c>
      <c r="J71" s="42">
        <f t="shared" si="17"/>
        <v>86000000</v>
      </c>
      <c r="K71" s="42">
        <f t="shared" si="17"/>
        <v>3571955293</v>
      </c>
      <c r="L71" s="43">
        <f t="shared" si="13"/>
        <v>0.54409215671799582</v>
      </c>
      <c r="M71" s="42">
        <f t="shared" si="17"/>
        <v>224094570</v>
      </c>
      <c r="N71" s="42">
        <f t="shared" si="17"/>
        <v>468475760</v>
      </c>
      <c r="O71" s="43">
        <f t="shared" si="3"/>
        <v>7.1359791968287151E-2</v>
      </c>
      <c r="P71" s="25">
        <f t="shared" si="4"/>
        <v>9</v>
      </c>
      <c r="Q71" s="26"/>
      <c r="R71" s="26"/>
    </row>
    <row r="72" spans="1:18" ht="17.25" customHeight="1" x14ac:dyDescent="0.25">
      <c r="B72" s="27" t="s">
        <v>149</v>
      </c>
      <c r="C72" s="46" t="s">
        <v>150</v>
      </c>
      <c r="D72" s="42">
        <f>D73</f>
        <v>8425000000</v>
      </c>
      <c r="E72" s="42">
        <f t="shared" si="17"/>
        <v>-1787017857</v>
      </c>
      <c r="F72" s="42">
        <f t="shared" si="17"/>
        <v>-1860017857</v>
      </c>
      <c r="G72" s="42">
        <f t="shared" si="11"/>
        <v>6564982143</v>
      </c>
      <c r="H72" s="42">
        <f t="shared" si="17"/>
        <v>0</v>
      </c>
      <c r="I72" s="42">
        <f t="shared" si="12"/>
        <v>6564982143</v>
      </c>
      <c r="J72" s="42">
        <f t="shared" si="17"/>
        <v>86000000</v>
      </c>
      <c r="K72" s="42">
        <f t="shared" si="17"/>
        <v>3571955293</v>
      </c>
      <c r="L72" s="43">
        <f t="shared" si="13"/>
        <v>0.54409215671799582</v>
      </c>
      <c r="M72" s="42">
        <f t="shared" si="17"/>
        <v>224094570</v>
      </c>
      <c r="N72" s="42">
        <f t="shared" si="17"/>
        <v>468475760</v>
      </c>
      <c r="O72" s="43">
        <f t="shared" si="3"/>
        <v>7.1359791968287151E-2</v>
      </c>
      <c r="P72" s="25">
        <f t="shared" si="4"/>
        <v>11</v>
      </c>
      <c r="Q72" s="26"/>
      <c r="R72" s="26"/>
    </row>
    <row r="73" spans="1:18" ht="17.25" customHeight="1" x14ac:dyDescent="0.25">
      <c r="B73" s="50" t="s">
        <v>151</v>
      </c>
      <c r="C73" s="51" t="s">
        <v>152</v>
      </c>
      <c r="D73" s="52">
        <f>VLOOKUP($B73,[1]DATOS!$A$1:$N$117,3,FALSE)</f>
        <v>8425000000</v>
      </c>
      <c r="E73" s="52">
        <f>VLOOKUP($B73,[1]DATOS!$A$1:$N$117,4,FALSE)</f>
        <v>-1787017857</v>
      </c>
      <c r="F73" s="52">
        <f>VLOOKUP($B73,[1]DATOS!$A$1:$N$117,5,FALSE)</f>
        <v>-1860017857</v>
      </c>
      <c r="G73" s="53">
        <f t="shared" si="11"/>
        <v>6564982143</v>
      </c>
      <c r="H73" s="52">
        <f>VLOOKUP($B73,[1]DATOS!$A$1:$N$117,7,FALSE)</f>
        <v>0</v>
      </c>
      <c r="I73" s="53">
        <f t="shared" si="12"/>
        <v>6564982143</v>
      </c>
      <c r="J73" s="52">
        <f>VLOOKUP($B73,[1]DATOS!$A$1:$N$117,9,FALSE)</f>
        <v>86000000</v>
      </c>
      <c r="K73" s="52">
        <f>VLOOKUP($B73,[1]DATOS!$A$1:$N$117,10,FALSE)</f>
        <v>3571955293</v>
      </c>
      <c r="L73" s="54">
        <f t="shared" si="13"/>
        <v>0.54409215671799582</v>
      </c>
      <c r="M73" s="52">
        <f>VLOOKUP($B73,[1]DATOS!$A$1:$N$117,12,FALSE)</f>
        <v>224094570</v>
      </c>
      <c r="N73" s="52">
        <f>VLOOKUP($B73,[1]DATOS!$A$1:$N$117,13,FALSE)</f>
        <v>468475760</v>
      </c>
      <c r="O73" s="54">
        <f t="shared" si="3"/>
        <v>7.1359791968287151E-2</v>
      </c>
      <c r="P73" s="25">
        <f t="shared" si="4"/>
        <v>24</v>
      </c>
      <c r="Q73" s="26"/>
      <c r="R73" s="26"/>
    </row>
    <row r="74" spans="1:18" ht="17.25" customHeight="1" x14ac:dyDescent="0.25">
      <c r="B74" s="31" t="s">
        <v>153</v>
      </c>
      <c r="C74" s="32" t="s">
        <v>154</v>
      </c>
      <c r="D74" s="33">
        <f>VLOOKUP($B74,[1]DATOS!$A$1:$N$117,3,FALSE)</f>
        <v>0</v>
      </c>
      <c r="E74" s="33">
        <f>VLOOKUP($B74,[1]DATOS!$A$1:$N$117,4,FALSE)</f>
        <v>0</v>
      </c>
      <c r="F74" s="33">
        <f>VLOOKUP($B74,[1]DATOS!$A$1:$N$117,5,FALSE)</f>
        <v>0</v>
      </c>
      <c r="G74" s="39">
        <f t="shared" si="11"/>
        <v>0</v>
      </c>
      <c r="H74" s="33">
        <f>VLOOKUP($B74,[1]DATOS!$A$1:$N$117,7,FALSE)</f>
        <v>0</v>
      </c>
      <c r="I74" s="39">
        <f t="shared" si="12"/>
        <v>0</v>
      </c>
      <c r="J74" s="33">
        <f>VLOOKUP($B74,[1]DATOS!$A$1:$N$117,9,FALSE)</f>
        <v>0</v>
      </c>
      <c r="K74" s="33">
        <f>VLOOKUP($B74,[1]DATOS!$A$1:$N$117,10,FALSE)</f>
        <v>0</v>
      </c>
      <c r="L74" s="40">
        <f t="shared" si="13"/>
        <v>0</v>
      </c>
      <c r="M74" s="33">
        <f>VLOOKUP($B74,[1]DATOS!$A$1:$N$117,12,FALSE)</f>
        <v>0</v>
      </c>
      <c r="N74" s="33">
        <f>VLOOKUP($B74,[1]DATOS!$A$1:$N$117,13,FALSE)</f>
        <v>0</v>
      </c>
      <c r="O74" s="40">
        <f t="shared" si="3"/>
        <v>0</v>
      </c>
      <c r="P74" s="25">
        <f t="shared" si="4"/>
        <v>5</v>
      </c>
      <c r="Q74" s="26"/>
      <c r="R74" s="26"/>
    </row>
    <row r="75" spans="1:18" s="37" customFormat="1" ht="17.25" customHeight="1" x14ac:dyDescent="0.25">
      <c r="B75" s="21" t="s">
        <v>155</v>
      </c>
      <c r="C75" s="47" t="s">
        <v>156</v>
      </c>
      <c r="D75" s="48">
        <f>[1]DATOS!C93</f>
        <v>307200645000</v>
      </c>
      <c r="E75" s="48">
        <f>[1]DATOS!D93</f>
        <v>-38425536564</v>
      </c>
      <c r="F75" s="48">
        <f>[1]DATOS!E93</f>
        <v>-38425536564</v>
      </c>
      <c r="G75" s="48">
        <f t="shared" si="11"/>
        <v>268775108436</v>
      </c>
      <c r="H75" s="48">
        <f>[1]DATOS!G93</f>
        <v>0</v>
      </c>
      <c r="I75" s="48">
        <f t="shared" si="12"/>
        <v>268775108436</v>
      </c>
      <c r="J75" s="48">
        <f>[1]DATOS!I93</f>
        <v>1042885483</v>
      </c>
      <c r="K75" s="48">
        <f>[1]DATOS!J93</f>
        <v>62132354692</v>
      </c>
      <c r="L75" s="49">
        <f t="shared" si="13"/>
        <v>0.23116855966889058</v>
      </c>
      <c r="M75" s="48">
        <f>[1]DATOS!L93</f>
        <v>3341233332</v>
      </c>
      <c r="N75" s="48">
        <f>[1]DATOS!M93</f>
        <v>11346512599</v>
      </c>
      <c r="O75" s="49">
        <f t="shared" ref="O75:O98" si="18">IFERROR(N75/I75,0)</f>
        <v>4.2215637694373032E-2</v>
      </c>
      <c r="P75" s="25">
        <f t="shared" ref="P75:P87" si="19">LEN(B75)</f>
        <v>3</v>
      </c>
      <c r="Q75" s="26"/>
      <c r="R75" s="26"/>
    </row>
    <row r="76" spans="1:18" s="37" customFormat="1" ht="17.25" customHeight="1" x14ac:dyDescent="0.25">
      <c r="B76" s="21" t="s">
        <v>157</v>
      </c>
      <c r="C76" s="47" t="s">
        <v>158</v>
      </c>
      <c r="D76" s="48">
        <f>+D77+D80</f>
        <v>307200645000</v>
      </c>
      <c r="E76" s="48">
        <f>+E77+E80</f>
        <v>-38425536564</v>
      </c>
      <c r="F76" s="48">
        <f>+F77+F80</f>
        <v>-38425536564</v>
      </c>
      <c r="G76" s="48">
        <f t="shared" si="11"/>
        <v>268775108436</v>
      </c>
      <c r="H76" s="48">
        <f>+H77+H80</f>
        <v>0</v>
      </c>
      <c r="I76" s="48">
        <f t="shared" si="12"/>
        <v>268775108436</v>
      </c>
      <c r="J76" s="48">
        <f>+J77+J80</f>
        <v>1042885483</v>
      </c>
      <c r="K76" s="48">
        <f>+K77+K80</f>
        <v>62132354692</v>
      </c>
      <c r="L76" s="49">
        <f t="shared" si="13"/>
        <v>0.23116855966889058</v>
      </c>
      <c r="M76" s="48">
        <f>+M77+M80</f>
        <v>3341233332</v>
      </c>
      <c r="N76" s="48">
        <f>+N77+N80</f>
        <v>11346512599</v>
      </c>
      <c r="O76" s="49">
        <f t="shared" si="18"/>
        <v>4.2215637694373032E-2</v>
      </c>
      <c r="P76" s="25">
        <f t="shared" si="19"/>
        <v>4</v>
      </c>
      <c r="Q76" s="26"/>
      <c r="R76" s="26"/>
    </row>
    <row r="77" spans="1:18" s="37" customFormat="1" ht="17.25" customHeight="1" x14ac:dyDescent="0.25">
      <c r="B77" s="27" t="s">
        <v>159</v>
      </c>
      <c r="C77" s="46" t="s">
        <v>160</v>
      </c>
      <c r="D77" s="42">
        <f>SUM(D78:D79)</f>
        <v>1000000</v>
      </c>
      <c r="E77" s="42">
        <f t="shared" ref="E77:N77" si="20">SUM(E78:E79)</f>
        <v>-1000000</v>
      </c>
      <c r="F77" s="42">
        <f t="shared" si="20"/>
        <v>-1000000</v>
      </c>
      <c r="G77" s="42">
        <f t="shared" si="11"/>
        <v>0</v>
      </c>
      <c r="H77" s="42">
        <f t="shared" si="20"/>
        <v>0</v>
      </c>
      <c r="I77" s="42">
        <f t="shared" si="12"/>
        <v>0</v>
      </c>
      <c r="J77" s="42">
        <f t="shared" si="20"/>
        <v>0</v>
      </c>
      <c r="K77" s="42">
        <f t="shared" si="20"/>
        <v>0</v>
      </c>
      <c r="L77" s="43">
        <f t="shared" si="13"/>
        <v>0</v>
      </c>
      <c r="M77" s="42">
        <f t="shared" si="20"/>
        <v>0</v>
      </c>
      <c r="N77" s="42">
        <f t="shared" si="20"/>
        <v>0</v>
      </c>
      <c r="O77" s="43">
        <f t="shared" si="18"/>
        <v>0</v>
      </c>
      <c r="P77" s="25">
        <f t="shared" si="19"/>
        <v>6</v>
      </c>
      <c r="Q77" s="26"/>
      <c r="R77" s="26"/>
    </row>
    <row r="78" spans="1:18" ht="17.25" customHeight="1" x14ac:dyDescent="0.25">
      <c r="A78" s="15" t="s">
        <v>161</v>
      </c>
      <c r="B78" s="31" t="s">
        <v>162</v>
      </c>
      <c r="C78" s="32" t="s">
        <v>163</v>
      </c>
      <c r="D78" s="33">
        <f>VLOOKUP($B78,[1]DATOS!$A$1:$N$113,3,FALSE)+VLOOKUP($A78,[1]DATOS!$A$1:$N$113,3,FALSE)</f>
        <v>1000000</v>
      </c>
      <c r="E78" s="33">
        <f>VLOOKUP($B78,[1]DATOS!$A$1:$N$113,4,FALSE)+VLOOKUP($A78,[1]DATOS!$A$1:$N$113,4,FALSE)</f>
        <v>-1000000</v>
      </c>
      <c r="F78" s="33">
        <f>VLOOKUP($B78,[1]DATOS!$A$1:$N$113,5,FALSE)+VLOOKUP($A78,[1]DATOS!$A$1:$N$113,5,FALSE)</f>
        <v>-1000000</v>
      </c>
      <c r="G78" s="33">
        <f t="shared" si="11"/>
        <v>0</v>
      </c>
      <c r="H78" s="33">
        <f>VLOOKUP($B78,[1]DATOS!$A$1:$N$113,7,FALSE)+VLOOKUP($A78,[1]DATOS!$A$1:$N$113,7,FALSE)</f>
        <v>0</v>
      </c>
      <c r="I78" s="33">
        <f t="shared" si="12"/>
        <v>0</v>
      </c>
      <c r="J78" s="33">
        <f>VLOOKUP($B78,[1]DATOS!$A$1:$N$113,9,FALSE)+VLOOKUP($A78,[1]DATOS!$A$1:$N$113,9,FALSE)</f>
        <v>0</v>
      </c>
      <c r="K78" s="33">
        <f>VLOOKUP($B78,[1]DATOS!$A$1:$N$113,10,FALSE)+VLOOKUP($A78,[1]DATOS!$A$1:$N$113,10,FALSE)</f>
        <v>0</v>
      </c>
      <c r="L78" s="34">
        <f t="shared" si="13"/>
        <v>0</v>
      </c>
      <c r="M78" s="33">
        <f>VLOOKUP($B78,[1]DATOS!$A$1:$N$113,12,FALSE)+VLOOKUP($A78,[1]DATOS!$A$1:$N$113,12,FALSE)</f>
        <v>0</v>
      </c>
      <c r="N78" s="33">
        <f>VLOOKUP($B78,[1]DATOS!$A$1:$N$113,13,FALSE)+VLOOKUP($A78,[1]DATOS!$A$1:$N$113,13,FALSE)</f>
        <v>0</v>
      </c>
      <c r="O78" s="34">
        <f t="shared" si="18"/>
        <v>0</v>
      </c>
      <c r="P78" s="25">
        <f t="shared" si="19"/>
        <v>8</v>
      </c>
      <c r="Q78" s="26"/>
      <c r="R78" s="26"/>
    </row>
    <row r="79" spans="1:18" ht="17.25" customHeight="1" x14ac:dyDescent="0.25">
      <c r="B79" s="31" t="s">
        <v>164</v>
      </c>
      <c r="C79" s="32" t="s">
        <v>165</v>
      </c>
      <c r="D79" s="33">
        <f>VLOOKUP($B79,[1]DATOS!$A$1:$N$113,3,FALSE)</f>
        <v>0</v>
      </c>
      <c r="E79" s="33">
        <f>VLOOKUP($B79,[1]DATOS!$A$1:$N$113,4,FALSE)</f>
        <v>0</v>
      </c>
      <c r="F79" s="33">
        <f>VLOOKUP($B79,[1]DATOS!$A$1:$N$113,5,FALSE)</f>
        <v>0</v>
      </c>
      <c r="G79" s="33">
        <f t="shared" si="11"/>
        <v>0</v>
      </c>
      <c r="H79" s="33">
        <f>VLOOKUP($B79,[1]DATOS!$A$1:$N$113,7,FALSE)</f>
        <v>0</v>
      </c>
      <c r="I79" s="33">
        <f t="shared" si="12"/>
        <v>0</v>
      </c>
      <c r="J79" s="33">
        <f>VLOOKUP($B79,[1]DATOS!$A$1:$N$113,9,FALSE)</f>
        <v>0</v>
      </c>
      <c r="K79" s="33">
        <f>VLOOKUP($B79,[1]DATOS!$A$1:$N$113,10,FALSE)</f>
        <v>0</v>
      </c>
      <c r="L79" s="34">
        <f t="shared" si="13"/>
        <v>0</v>
      </c>
      <c r="M79" s="33">
        <f>VLOOKUP($B79,[1]DATOS!$A$1:$N$113,12,FALSE)</f>
        <v>0</v>
      </c>
      <c r="N79" s="33">
        <f>VLOOKUP($B79,[1]DATOS!$A$1:$N$113,13,FALSE)</f>
        <v>0</v>
      </c>
      <c r="O79" s="34">
        <f t="shared" si="18"/>
        <v>0</v>
      </c>
      <c r="P79" s="25">
        <f t="shared" si="19"/>
        <v>8</v>
      </c>
      <c r="Q79" s="26"/>
      <c r="R79" s="26"/>
    </row>
    <row r="80" spans="1:18" s="37" customFormat="1" ht="17.25" customHeight="1" x14ac:dyDescent="0.25">
      <c r="B80" s="27" t="s">
        <v>166</v>
      </c>
      <c r="C80" s="46" t="s">
        <v>99</v>
      </c>
      <c r="D80" s="42">
        <f>SUM(D81:D85)</f>
        <v>307199645000</v>
      </c>
      <c r="E80" s="42">
        <f>SUM(E81:E85)</f>
        <v>-38424536564</v>
      </c>
      <c r="F80" s="42">
        <f>SUM(F81:F85)</f>
        <v>-38424536564</v>
      </c>
      <c r="G80" s="42">
        <f t="shared" si="11"/>
        <v>268775108436</v>
      </c>
      <c r="H80" s="42">
        <f>SUM(H81:H85)</f>
        <v>0</v>
      </c>
      <c r="I80" s="42">
        <f t="shared" si="12"/>
        <v>268775108436</v>
      </c>
      <c r="J80" s="42">
        <f>SUM(J81:J85)</f>
        <v>1042885483</v>
      </c>
      <c r="K80" s="42">
        <f>SUM(K81:K85)</f>
        <v>62132354692</v>
      </c>
      <c r="L80" s="43">
        <f t="shared" si="13"/>
        <v>0.23116855966889058</v>
      </c>
      <c r="M80" s="42">
        <f>SUM(M81:M85)</f>
        <v>3341233332</v>
      </c>
      <c r="N80" s="42">
        <f>SUM(N81:N85)</f>
        <v>11346512599</v>
      </c>
      <c r="O80" s="43">
        <f t="shared" si="18"/>
        <v>4.2215637694373032E-2</v>
      </c>
      <c r="P80" s="25">
        <f t="shared" si="19"/>
        <v>6</v>
      </c>
      <c r="Q80" s="26"/>
      <c r="R80" s="26"/>
    </row>
    <row r="81" spans="1:18" ht="17.25" customHeight="1" x14ac:dyDescent="0.25">
      <c r="B81" s="31" t="s">
        <v>167</v>
      </c>
      <c r="C81" s="32" t="s">
        <v>168</v>
      </c>
      <c r="D81" s="33">
        <f>VLOOKUP($B81,[1]DATOS!$A$1:$N$113,3,FALSE)</f>
        <v>36000000000</v>
      </c>
      <c r="E81" s="33">
        <f>VLOOKUP($B81,[1]DATOS!$A$1:$N$113,4,FALSE)</f>
        <v>-451109</v>
      </c>
      <c r="F81" s="33">
        <f>VLOOKUP($B81,[1]DATOS!$A$1:$N$113,5,FALSE)</f>
        <v>44548891</v>
      </c>
      <c r="G81" s="33">
        <f t="shared" si="11"/>
        <v>36044548891</v>
      </c>
      <c r="H81" s="33">
        <f>VLOOKUP($B81,[1]DATOS!$A$1:$N$113,7,FALSE)</f>
        <v>0</v>
      </c>
      <c r="I81" s="33">
        <f t="shared" si="12"/>
        <v>36044548891</v>
      </c>
      <c r="J81" s="33">
        <f>VLOOKUP($B81,[1]DATOS!$A$1:$N$113,9,FALSE)</f>
        <v>0</v>
      </c>
      <c r="K81" s="33">
        <f>VLOOKUP($B81,[1]DATOS!$A$1:$N$113,10,FALSE)</f>
        <v>44548891</v>
      </c>
      <c r="L81" s="34">
        <f t="shared" si="13"/>
        <v>1.2359397570688825E-3</v>
      </c>
      <c r="M81" s="33">
        <f>VLOOKUP($B81,[1]DATOS!$A$1:$N$113,12,FALSE)</f>
        <v>13050011</v>
      </c>
      <c r="N81" s="33">
        <f>VLOOKUP($B81,[1]DATOS!$A$1:$N$113,13,FALSE)</f>
        <v>13050011</v>
      </c>
      <c r="O81" s="34">
        <f t="shared" si="18"/>
        <v>3.6205227701596981E-4</v>
      </c>
      <c r="P81" s="25">
        <f t="shared" si="19"/>
        <v>8</v>
      </c>
      <c r="Q81" s="26"/>
      <c r="R81" s="26"/>
    </row>
    <row r="82" spans="1:18" ht="17.25" customHeight="1" x14ac:dyDescent="0.25">
      <c r="A82" s="15" t="s">
        <v>169</v>
      </c>
      <c r="B82" s="31" t="s">
        <v>170</v>
      </c>
      <c r="C82" s="32" t="s">
        <v>171</v>
      </c>
      <c r="D82" s="33">
        <f>VLOOKUP($B82,[1]DATOS!$A$1:$N$117,3,FALSE)</f>
        <v>20000000</v>
      </c>
      <c r="E82" s="33">
        <f>VLOOKUP($B82,[1]DATOS!$A$1:$N$117,4,FALSE)</f>
        <v>-5840420</v>
      </c>
      <c r="F82" s="33">
        <f>VLOOKUP($B82,[1]DATOS!$A$1:$N$117,5,FALSE)</f>
        <v>54159580</v>
      </c>
      <c r="G82" s="39">
        <f t="shared" si="11"/>
        <v>74159580</v>
      </c>
      <c r="H82" s="33">
        <f>VLOOKUP($B82,[1]DATOS!$A$1:$N$117,7,FALSE)</f>
        <v>0</v>
      </c>
      <c r="I82" s="39">
        <f t="shared" si="12"/>
        <v>74159580</v>
      </c>
      <c r="J82" s="33">
        <f>VLOOKUP($B82,[1]DATOS!$A$1:$N$117,9,FALSE)</f>
        <v>0</v>
      </c>
      <c r="K82" s="33">
        <f>VLOOKUP($B82,[1]DATOS!$A$1:$N$117,10,FALSE)</f>
        <v>15696680</v>
      </c>
      <c r="L82" s="40">
        <f t="shared" si="13"/>
        <v>0.21166085352694824</v>
      </c>
      <c r="M82" s="33">
        <f>VLOOKUP($B82,[1]DATOS!$A$1:$N$117,12,FALSE)</f>
        <v>0</v>
      </c>
      <c r="N82" s="33">
        <f>VLOOKUP($B82,[1]DATOS!$A$1:$N$117,13,FALSE)</f>
        <v>1637100</v>
      </c>
      <c r="O82" s="40">
        <f t="shared" si="18"/>
        <v>2.2075367740755813E-2</v>
      </c>
      <c r="P82" s="25">
        <f t="shared" si="19"/>
        <v>8</v>
      </c>
      <c r="Q82" s="26"/>
      <c r="R82" s="26"/>
    </row>
    <row r="83" spans="1:18" ht="17.25" customHeight="1" x14ac:dyDescent="0.25">
      <c r="A83" s="15" t="s">
        <v>172</v>
      </c>
      <c r="B83" s="31" t="s">
        <v>173</v>
      </c>
      <c r="C83" s="32" t="s">
        <v>174</v>
      </c>
      <c r="D83" s="33">
        <f>VLOOKUP($B83,[1]DATOS!$A$1:$N$113,3,FALSE)+VLOOKUP($A83,[1]DATOS!$A$1:$N$113,3,FALSE)</f>
        <v>64045800</v>
      </c>
      <c r="E83" s="33">
        <f>VLOOKUP($B83,[1]DATOS!$A$1:$N$113,4,FALSE)+VLOOKUP($A83,[1]DATOS!$A$1:$N$113,4,FALSE)</f>
        <v>0</v>
      </c>
      <c r="F83" s="33">
        <f>VLOOKUP($B83,[1]DATOS!$A$1:$N$113,5,FALSE)+VLOOKUP($A83,[1]DATOS!$A$1:$N$113,5,FALSE)</f>
        <v>1119447790</v>
      </c>
      <c r="G83" s="33">
        <f t="shared" si="11"/>
        <v>1183493590</v>
      </c>
      <c r="H83" s="33">
        <f>VLOOKUP($B83,[1]DATOS!$A$1:$N$113,7,FALSE)+VLOOKUP($A83,[1]DATOS!$A$1:$N$113,7,FALSE)</f>
        <v>0</v>
      </c>
      <c r="I83" s="33">
        <f t="shared" si="12"/>
        <v>1183493590</v>
      </c>
      <c r="J83" s="33">
        <f>VLOOKUP($B83,[1]DATOS!$A$1:$N$113,9,FALSE)+VLOOKUP($A83,[1]DATOS!$A$1:$N$113,9,FALSE)</f>
        <v>103920</v>
      </c>
      <c r="K83" s="33">
        <f>VLOOKUP($B83,[1]DATOS!$A$1:$N$113,10,FALSE)+VLOOKUP($A83,[1]DATOS!$A$1:$N$113,10,FALSE)</f>
        <v>611472810</v>
      </c>
      <c r="L83" s="34">
        <f t="shared" si="13"/>
        <v>0.51666761456646337</v>
      </c>
      <c r="M83" s="33">
        <f>VLOOKUP($B83,[1]DATOS!$A$1:$N$113,12,FALSE)+VLOOKUP($A83,[1]DATOS!$A$1:$N$113,12,FALSE)</f>
        <v>103920</v>
      </c>
      <c r="N83" s="33">
        <f>VLOOKUP($B83,[1]DATOS!$A$1:$N$113,13,FALSE)+VLOOKUP($A83,[1]DATOS!$A$1:$N$113,13,FALSE)</f>
        <v>274410</v>
      </c>
      <c r="O83" s="34">
        <f t="shared" si="18"/>
        <v>2.3186437368030019E-4</v>
      </c>
      <c r="P83" s="25">
        <f t="shared" si="19"/>
        <v>8</v>
      </c>
      <c r="Q83" s="26"/>
      <c r="R83" s="26"/>
    </row>
    <row r="84" spans="1:18" ht="17.25" customHeight="1" x14ac:dyDescent="0.25">
      <c r="B84" s="31" t="s">
        <v>175</v>
      </c>
      <c r="C84" s="32" t="s">
        <v>176</v>
      </c>
      <c r="D84" s="33">
        <f>VLOOKUP($B84,[1]DATOS!$A$1:$N$113,3,FALSE)</f>
        <v>271115599200</v>
      </c>
      <c r="E84" s="33">
        <f>VLOOKUP($B84,[1]DATOS!$A$1:$N$113,4,FALSE)</f>
        <v>-38418245035</v>
      </c>
      <c r="F84" s="33">
        <f>VLOOKUP($B84,[1]DATOS!$A$1:$N$113,5,FALSE)</f>
        <v>-39682692825</v>
      </c>
      <c r="G84" s="33">
        <f t="shared" si="11"/>
        <v>231432906375</v>
      </c>
      <c r="H84" s="33">
        <f>VLOOKUP($B84,[1]DATOS!$A$1:$N$113,7,FALSE)</f>
        <v>0</v>
      </c>
      <c r="I84" s="33">
        <f t="shared" si="12"/>
        <v>231432906375</v>
      </c>
      <c r="J84" s="33">
        <f>VLOOKUP($B84,[1]DATOS!$A$1:$N$113,9,FALSE)</f>
        <v>1042781563</v>
      </c>
      <c r="K84" s="33">
        <f>VLOOKUP($B84,[1]DATOS!$A$1:$N$113,10,FALSE)</f>
        <v>61420992311</v>
      </c>
      <c r="L84" s="34">
        <f t="shared" si="13"/>
        <v>0.26539437832352636</v>
      </c>
      <c r="M84" s="33">
        <f>VLOOKUP($B84,[1]DATOS!$A$1:$N$113,12,FALSE)</f>
        <v>3328079401</v>
      </c>
      <c r="N84" s="33">
        <f>VLOOKUP($B84,[1]DATOS!$A$1:$N$113,13,FALSE)</f>
        <v>11331551078</v>
      </c>
      <c r="O84" s="34">
        <f t="shared" si="18"/>
        <v>4.8962575182109301E-2</v>
      </c>
      <c r="P84" s="25">
        <f t="shared" si="19"/>
        <v>8</v>
      </c>
      <c r="Q84" s="26"/>
      <c r="R84" s="26"/>
    </row>
    <row r="85" spans="1:18" ht="17.25" customHeight="1" x14ac:dyDescent="0.25">
      <c r="B85" s="31" t="s">
        <v>177</v>
      </c>
      <c r="C85" s="32" t="s">
        <v>107</v>
      </c>
      <c r="D85" s="33">
        <f>VLOOKUP($B85,[1]DATOS!$A$1:$N$113,3,FALSE)</f>
        <v>0</v>
      </c>
      <c r="E85" s="33">
        <f>VLOOKUP($B85,[1]DATOS!$A$1:$N$113,4,FALSE)</f>
        <v>0</v>
      </c>
      <c r="F85" s="33">
        <f>VLOOKUP($B85,[1]DATOS!$A$1:$N$113,5,FALSE)</f>
        <v>40000000</v>
      </c>
      <c r="G85" s="33">
        <f t="shared" si="11"/>
        <v>40000000</v>
      </c>
      <c r="H85" s="33">
        <f>VLOOKUP($B85,[1]DATOS!$A$1:$N$113,7,FALSE)</f>
        <v>0</v>
      </c>
      <c r="I85" s="33">
        <f t="shared" si="12"/>
        <v>40000000</v>
      </c>
      <c r="J85" s="33">
        <f>VLOOKUP($B85,[1]DATOS!$A$1:$N$113,9,FALSE)</f>
        <v>0</v>
      </c>
      <c r="K85" s="33">
        <f>VLOOKUP($B85,[1]DATOS!$A$1:$N$113,10,FALSE)</f>
        <v>39644000</v>
      </c>
      <c r="L85" s="34">
        <f t="shared" si="13"/>
        <v>0.99109999999999998</v>
      </c>
      <c r="M85" s="33">
        <f>VLOOKUP($B85,[1]DATOS!$A$1:$N$113,12,FALSE)</f>
        <v>0</v>
      </c>
      <c r="N85" s="33">
        <f>VLOOKUP($B85,[1]DATOS!$A$1:$N$113,13,FALSE)</f>
        <v>0</v>
      </c>
      <c r="O85" s="34">
        <f t="shared" si="18"/>
        <v>0</v>
      </c>
      <c r="P85" s="25">
        <f t="shared" si="19"/>
        <v>8</v>
      </c>
      <c r="Q85" s="26"/>
      <c r="R85" s="26"/>
    </row>
    <row r="86" spans="1:18" s="37" customFormat="1" ht="17.25" customHeight="1" x14ac:dyDescent="0.25">
      <c r="B86" s="21" t="s">
        <v>178</v>
      </c>
      <c r="C86" s="47" t="s">
        <v>179</v>
      </c>
      <c r="D86" s="48">
        <f>VLOOKUP($B86,[1]DATOS!$A$1:$N$113,3,FALSE)</f>
        <v>124997973000</v>
      </c>
      <c r="E86" s="48">
        <f>VLOOKUP($B86,[1]DATOS!$A$1:$N$113,4,FALSE)</f>
        <v>136085998782</v>
      </c>
      <c r="F86" s="48">
        <f>VLOOKUP($B86,[1]DATOS!$A$1:$N$113,5,FALSE)</f>
        <v>136085998782</v>
      </c>
      <c r="G86" s="48">
        <f t="shared" si="11"/>
        <v>261083971782</v>
      </c>
      <c r="H86" s="48">
        <f>VLOOKUP($B86,[1]DATOS!$A$1:$N$113,7,FALSE)</f>
        <v>0</v>
      </c>
      <c r="I86" s="48">
        <f t="shared" si="12"/>
        <v>261083971782</v>
      </c>
      <c r="J86" s="48">
        <f>VLOOKUP($B86,[1]DATOS!$A$1:$N$113,9,FALSE)</f>
        <v>0</v>
      </c>
      <c r="K86" s="48">
        <f>VLOOKUP($B86,[1]DATOS!$A$1:$N$113,10,FALSE)</f>
        <v>0</v>
      </c>
      <c r="L86" s="49">
        <f t="shared" si="13"/>
        <v>0</v>
      </c>
      <c r="M86" s="48">
        <f>VLOOKUP($B86,[1]DATOS!$A$1:$N$113,12,FALSE)</f>
        <v>0</v>
      </c>
      <c r="N86" s="48">
        <f>VLOOKUP($B86,[1]DATOS!$A$1:$N$113,13,FALSE)</f>
        <v>0</v>
      </c>
      <c r="O86" s="49">
        <f t="shared" si="18"/>
        <v>0</v>
      </c>
      <c r="P86" s="25">
        <f t="shared" si="19"/>
        <v>2</v>
      </c>
      <c r="Q86" s="26"/>
      <c r="R86" s="26"/>
    </row>
    <row r="87" spans="1:18" s="37" customFormat="1" ht="17.25" customHeight="1" x14ac:dyDescent="0.25">
      <c r="B87" s="55"/>
      <c r="C87" s="56" t="s">
        <v>180</v>
      </c>
      <c r="D87" s="57">
        <f>D10+D86</f>
        <v>663476077000</v>
      </c>
      <c r="E87" s="57">
        <f>E10+E86</f>
        <v>199541810551</v>
      </c>
      <c r="F87" s="57">
        <f>F10+F86</f>
        <v>199541810551</v>
      </c>
      <c r="G87" s="57">
        <f t="shared" si="11"/>
        <v>863017887551</v>
      </c>
      <c r="H87" s="57">
        <f>H10+H86</f>
        <v>0</v>
      </c>
      <c r="I87" s="57">
        <f t="shared" si="12"/>
        <v>863017887551</v>
      </c>
      <c r="J87" s="57">
        <f>J10+J86</f>
        <v>114811552392</v>
      </c>
      <c r="K87" s="57">
        <f>K10+K86</f>
        <v>327881814920</v>
      </c>
      <c r="L87" s="58">
        <f t="shared" si="13"/>
        <v>0.37992470335746525</v>
      </c>
      <c r="M87" s="57">
        <f>M10+M86</f>
        <v>10937724232</v>
      </c>
      <c r="N87" s="57">
        <f>N10+N86</f>
        <v>27714762843</v>
      </c>
      <c r="O87" s="58">
        <f t="shared" si="18"/>
        <v>3.2113775673464469E-2</v>
      </c>
      <c r="P87" s="25">
        <f t="shared" si="19"/>
        <v>0</v>
      </c>
      <c r="Q87" s="26"/>
    </row>
    <row r="88" spans="1:18" x14ac:dyDescent="0.25">
      <c r="Q88" s="26"/>
    </row>
    <row r="89" spans="1:18" ht="84" customHeight="1" x14ac:dyDescent="0.25">
      <c r="Q89" s="26"/>
    </row>
    <row r="90" spans="1:18" ht="15" x14ac:dyDescent="0.25">
      <c r="C90" s="59"/>
      <c r="D90" s="60"/>
      <c r="E90" s="59"/>
      <c r="F90" s="60"/>
      <c r="G90" s="59"/>
      <c r="H90" s="60"/>
      <c r="I90" s="60"/>
      <c r="J90" s="61"/>
      <c r="K90" s="60"/>
      <c r="L90" s="62"/>
      <c r="M90" s="63"/>
      <c r="N90" s="60"/>
      <c r="Q90" s="26"/>
    </row>
    <row r="91" spans="1:18" ht="15.75" x14ac:dyDescent="0.25">
      <c r="C91" s="64" t="s">
        <v>181</v>
      </c>
      <c r="D91" s="60"/>
      <c r="E91" s="59"/>
      <c r="F91" s="60"/>
      <c r="H91" s="60"/>
      <c r="I91" s="60"/>
      <c r="J91" s="61"/>
      <c r="K91" s="60"/>
      <c r="L91" s="62"/>
      <c r="M91" s="64" t="s">
        <v>182</v>
      </c>
      <c r="N91" s="60"/>
      <c r="Q91" s="26"/>
    </row>
    <row r="92" spans="1:18" ht="15.75" x14ac:dyDescent="0.25">
      <c r="C92" s="65" t="s">
        <v>183</v>
      </c>
      <c r="D92" s="66"/>
      <c r="E92" s="59"/>
      <c r="F92" s="66"/>
      <c r="H92" s="60"/>
      <c r="I92" s="60"/>
      <c r="J92" s="63"/>
      <c r="K92" s="60"/>
      <c r="L92" s="62"/>
      <c r="M92" s="65" t="s">
        <v>184</v>
      </c>
      <c r="N92" s="60"/>
      <c r="Q92" s="26"/>
    </row>
    <row r="93" spans="1:18" x14ac:dyDescent="0.25">
      <c r="Q93" s="26"/>
    </row>
    <row r="94" spans="1:18" x14ac:dyDescent="0.25">
      <c r="Q94" s="26"/>
    </row>
    <row r="95" spans="1:18" x14ac:dyDescent="0.25">
      <c r="Q95" s="26"/>
    </row>
    <row r="96" spans="1:18" x14ac:dyDescent="0.25">
      <c r="Q96" s="26"/>
    </row>
    <row r="97" spans="17:17" x14ac:dyDescent="0.25">
      <c r="Q97" s="26"/>
    </row>
    <row r="98" spans="17:17" x14ac:dyDescent="0.25">
      <c r="Q98" s="26"/>
    </row>
    <row r="99" spans="17:17" x14ac:dyDescent="0.25">
      <c r="Q99" s="26"/>
    </row>
    <row r="100" spans="17:17" x14ac:dyDescent="0.25">
      <c r="Q100" s="26"/>
    </row>
    <row r="101" spans="17:17" x14ac:dyDescent="0.25">
      <c r="Q101" s="26"/>
    </row>
    <row r="102" spans="17:17" x14ac:dyDescent="0.25">
      <c r="Q102" s="26"/>
    </row>
    <row r="103" spans="17:17" x14ac:dyDescent="0.25">
      <c r="Q103" s="26"/>
    </row>
    <row r="104" spans="17:17" x14ac:dyDescent="0.25">
      <c r="Q104" s="26"/>
    </row>
    <row r="105" spans="17:17" x14ac:dyDescent="0.25">
      <c r="Q105" s="26"/>
    </row>
    <row r="106" spans="17:17" x14ac:dyDescent="0.25">
      <c r="Q106" s="26"/>
    </row>
    <row r="107" spans="17:17" x14ac:dyDescent="0.25">
      <c r="Q107" s="26"/>
    </row>
    <row r="108" spans="17:17" x14ac:dyDescent="0.25">
      <c r="Q108" s="26"/>
    </row>
    <row r="109" spans="17:17" x14ac:dyDescent="0.25">
      <c r="Q109" s="26"/>
    </row>
    <row r="110" spans="17:17" x14ac:dyDescent="0.25">
      <c r="Q110" s="26"/>
    </row>
    <row r="111" spans="17:17" x14ac:dyDescent="0.25">
      <c r="Q111" s="26"/>
    </row>
    <row r="112" spans="17:17" x14ac:dyDescent="0.25">
      <c r="Q112" s="26"/>
    </row>
    <row r="113" spans="17:17" x14ac:dyDescent="0.25">
      <c r="Q113" s="26"/>
    </row>
    <row r="114" spans="17:17" x14ac:dyDescent="0.25">
      <c r="Q114" s="26"/>
    </row>
    <row r="115" spans="17:17" x14ac:dyDescent="0.25">
      <c r="Q115" s="26"/>
    </row>
    <row r="116" spans="17:17" x14ac:dyDescent="0.25">
      <c r="Q116" s="26"/>
    </row>
  </sheetData>
  <autoFilter ref="B9:P87" xr:uid="{00000000-0001-0000-0000-000000000000}"/>
  <printOptions horizontalCentered="1"/>
  <pageMargins left="0.15748031496062992" right="0.15748031496062992" top="0.74803149606299213" bottom="0.51181102362204722" header="0.51181102362204722" footer="0.43307086614173229"/>
  <pageSetup paperSize="5" scale="53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FIRMA FORMULA</vt:lpstr>
      <vt:lpstr>'FIRMA FORMULA'!Área_de_impresión</vt:lpstr>
      <vt:lpstr>'FIRMA FORMULA'!Títulos_a_imprimir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Alexander Valencia Nemocón</dc:creator>
  <cp:lastModifiedBy>William Alexander Valencia Nemocón</cp:lastModifiedBy>
  <dcterms:created xsi:type="dcterms:W3CDTF">2025-05-22T22:04:20Z</dcterms:created>
  <dcterms:modified xsi:type="dcterms:W3CDTF">2025-05-22T22:04:42Z</dcterms:modified>
</cp:coreProperties>
</file>